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  <sheet name="COMP. 0001" sheetId="2" r:id="rId2"/>
    <sheet name="COMP. 0002" sheetId="3" r:id="rId3"/>
  </sheets>
  <externalReferences>
    <externalReference r:id="rId6"/>
    <externalReference r:id="rId7"/>
    <externalReference r:id="rId8"/>
  </externalReferences>
  <definedNames>
    <definedName name="_cpu2" localSheetId="1">#REF!</definedName>
    <definedName name="_cpu2" localSheetId="2">#REF!</definedName>
    <definedName name="_cpu2">#REF!</definedName>
    <definedName name="a" localSheetId="1">#REF!</definedName>
    <definedName name="a" localSheetId="2">#REF!</definedName>
    <definedName name="a">#REF!</definedName>
    <definedName name="aline" localSheetId="1">#REF!</definedName>
    <definedName name="aline" localSheetId="2">#REF!</definedName>
    <definedName name="aline">#REF!</definedName>
    <definedName name="AM" localSheetId="1">#REF!</definedName>
    <definedName name="AM" localSheetId="2">#REF!</definedName>
    <definedName name="AM">#REF!</definedName>
    <definedName name="APR" localSheetId="1">#REF!</definedName>
    <definedName name="APR" localSheetId="2">#REF!</definedName>
    <definedName name="APR">#REF!</definedName>
    <definedName name="arc" localSheetId="1">'[1]ORÇAMENTO'!#REF!</definedName>
    <definedName name="arc" localSheetId="2">'[1]ORÇAMENTO'!#REF!</definedName>
    <definedName name="arc">'[1]ORÇAMENTO'!#REF!</definedName>
    <definedName name="area" localSheetId="1">#REF!</definedName>
    <definedName name="area" localSheetId="2">#REF!</definedName>
    <definedName name="area">#REF!</definedName>
    <definedName name="_xlnm.Print_Area" localSheetId="1">'COMP. 0001'!$B$1:$G$40</definedName>
    <definedName name="_xlnm.Print_Area" localSheetId="2">'COMP. 0002'!$B$1:$G$41</definedName>
    <definedName name="_xlnm.Print_Area" localSheetId="0">'Plan1'!$C$1:$I$86</definedName>
    <definedName name="as" localSheetId="1">#REF!</definedName>
    <definedName name="as" localSheetId="2">#REF!</definedName>
    <definedName name="as">#REF!</definedName>
    <definedName name="CB" localSheetId="1">#REF!</definedName>
    <definedName name="CB" localSheetId="2">#REF!</definedName>
    <definedName name="CB">#REF!</definedName>
    <definedName name="cpu2" localSheetId="1">#REF!</definedName>
    <definedName name="cpu2" localSheetId="2">#REF!</definedName>
    <definedName name="cpu2">#REF!</definedName>
    <definedName name="creche" localSheetId="1">'[2]PlanilhaTorres'!#REF!</definedName>
    <definedName name="creche" localSheetId="2">'[2]PlanilhaTorres'!#REF!</definedName>
    <definedName name="creche">'[2]PlanilhaTorres'!#REF!</definedName>
    <definedName name="CUB">#REF!</definedName>
    <definedName name="Guarita" localSheetId="1">'[1]ORÇAMENTO'!#REF!</definedName>
    <definedName name="Guarita" localSheetId="2">'[1]ORÇAMENTO'!#REF!</definedName>
    <definedName name="Guarita">'[1]ORÇAMENTO'!#REF!</definedName>
    <definedName name="instalacoes" localSheetId="1">#REF!</definedName>
    <definedName name="instalacoes" localSheetId="2">#REF!</definedName>
    <definedName name="instalacoes">#REF!</definedName>
    <definedName name="resumo2">#REF!</definedName>
    <definedName name="RM" localSheetId="1">#REF!</definedName>
    <definedName name="RM" localSheetId="2">#REF!</definedName>
    <definedName name="RM">#REF!</definedName>
    <definedName name="SV" localSheetId="1">#REF!</definedName>
    <definedName name="SV" localSheetId="2">#REF!</definedName>
    <definedName name="SV">#REF!</definedName>
    <definedName name="_xlnm.Print_Titles" localSheetId="0">'Plan1'!$1:$8</definedName>
    <definedName name="torrea" localSheetId="1">'[2]PlanilhaTorres'!#REF!</definedName>
    <definedName name="torrea" localSheetId="2">'[2]PlanilhaTorres'!#REF!</definedName>
    <definedName name="torrea">'[2]PlanilhaTorres'!#REF!</definedName>
    <definedName name="torreb" localSheetId="1">'[2]PlanilhaTorres'!#REF!</definedName>
    <definedName name="torreb" localSheetId="2">'[2]PlanilhaTorres'!#REF!</definedName>
    <definedName name="torreb">'[2]PlanilhaTorres'!#REF!</definedName>
    <definedName name="torrec" localSheetId="1">'[2]PlanilhaTorres'!#REF!</definedName>
    <definedName name="torrec" localSheetId="2">'[2]PlanilhaTorres'!#REF!</definedName>
    <definedName name="torrec">'[2]PlanilhaTorres'!#REF!</definedName>
    <definedName name="torred" localSheetId="1">'[2]PlanilhaTorres'!#REF!</definedName>
    <definedName name="torred" localSheetId="2">'[2]PlanilhaTorres'!#REF!</definedName>
    <definedName name="torred">'[2]PlanilhaTorres'!#REF!</definedName>
    <definedName name="torree" localSheetId="1">'[2]PlanilhaTorres'!#REF!</definedName>
    <definedName name="torree" localSheetId="2">'[2]PlanilhaTorres'!#REF!</definedName>
    <definedName name="torree">'[2]PlanilhaTorres'!#REF!</definedName>
    <definedName name="VR" localSheetId="1">#REF!</definedName>
    <definedName name="VR" localSheetId="2">#REF!</definedName>
    <definedName name="VR">#REF!</definedName>
    <definedName name="VT" localSheetId="1">#REF!</definedName>
    <definedName name="VT" localSheetId="2">#REF!</definedName>
    <definedName name="VT">#REF!</definedName>
  </definedNames>
  <calcPr fullCalcOnLoad="1" fullPrecision="0"/>
</workbook>
</file>

<file path=xl/sharedStrings.xml><?xml version="1.0" encoding="utf-8"?>
<sst xmlns="http://schemas.openxmlformats.org/spreadsheetml/2006/main" count="363" uniqueCount="233">
  <si>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</si>
  <si>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</si>
  <si>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</si>
  <si>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</si>
  <si>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</si>
  <si>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</si>
  <si>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</si>
  <si>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</si>
  <si>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</si>
  <si>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 xml:space="preserve">Para-raio polimérico 21kV-10kA </t>
  </si>
  <si>
    <t>Sistemas de Proteção contra descargas atmosféricas e Aterramentos</t>
  </si>
  <si>
    <t>Média Tensão (25kV)</t>
  </si>
  <si>
    <t>Baixa Tensão (127-220V)</t>
  </si>
  <si>
    <t>Postes e Estaimentos</t>
  </si>
  <si>
    <t>Conector  perfurante isolado CDP-70</t>
  </si>
  <si>
    <t>01</t>
  </si>
  <si>
    <t>01.01</t>
  </si>
  <si>
    <t>PREFEITURA MUNICIPAL DE SÃO DOMINGOS DO NORTE</t>
  </si>
  <si>
    <t>Contato:99839-0808 / lebengenharia@gmail.com</t>
  </si>
  <si>
    <t>Planilha Orçamentária</t>
  </si>
  <si>
    <t>Data-Base:</t>
  </si>
  <si>
    <t>MAR / 2015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</si>
  <si>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</si>
  <si>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</si>
  <si>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</si>
  <si>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</si>
  <si>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</si>
  <si>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</si>
  <si>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</si>
  <si>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</si>
  <si>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</si>
  <si>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</si>
  <si>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</si>
  <si>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</si>
  <si>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</si>
  <si>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</si>
  <si>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</si>
  <si>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Equipamentos de Rede</t>
  </si>
  <si>
    <t>02</t>
  </si>
  <si>
    <t>SCO-RJ IP 59.20.0650</t>
  </si>
  <si>
    <t>02.01</t>
  </si>
  <si>
    <t>02.02</t>
  </si>
  <si>
    <t>02.03</t>
  </si>
  <si>
    <t>SINAPI - 73783/009</t>
  </si>
  <si>
    <t>SINAPI - 73783/010</t>
  </si>
  <si>
    <t>Fornecimento e assentamento de poste concreto circular 11/300</t>
  </si>
  <si>
    <t>Fornecimento e assentamento de poste concreto circular 11/600</t>
  </si>
  <si>
    <t>COMPOSIÇÃO DO PREÇO UNITÁRIO</t>
  </si>
  <si>
    <t>DESCRIÇÃO</t>
  </si>
  <si>
    <t>UNIDADE</t>
  </si>
  <si>
    <t>DATA BASE</t>
  </si>
  <si>
    <t>COMP. 0001</t>
  </si>
  <si>
    <t>UNID.</t>
  </si>
  <si>
    <t>COEF.</t>
  </si>
  <si>
    <t xml:space="preserve"> PREÇO UNITÁRIO </t>
  </si>
  <si>
    <t>TOTAL PARCIAL</t>
  </si>
  <si>
    <t>1- MÃO DE OBRA</t>
  </si>
  <si>
    <t>ELETRICISTA</t>
  </si>
  <si>
    <t>IOPES - 010130</t>
  </si>
  <si>
    <t>H</t>
  </si>
  <si>
    <t>AJUDANTE</t>
  </si>
  <si>
    <t>IOPES - 010101</t>
  </si>
  <si>
    <t>TOTAL A</t>
  </si>
  <si>
    <t>2- MATERIAIS</t>
  </si>
  <si>
    <t>TOTAL B</t>
  </si>
  <si>
    <t>3- EQUIPAMENTOS</t>
  </si>
  <si>
    <t>TOTAL C</t>
  </si>
  <si>
    <t>4- RESUMO - DISCRIMINAÇÃO</t>
  </si>
  <si>
    <t>TAXA</t>
  </si>
  <si>
    <t>VALORES</t>
  </si>
  <si>
    <t xml:space="preserve"> 5 - OBSERVAÇÃO </t>
  </si>
  <si>
    <t>MÃO-DE OBRA - (TOTAL A)</t>
  </si>
  <si>
    <t>MATERIAIS - (TOTAL B)</t>
  </si>
  <si>
    <t>EQUIPAMENTOS - (TOTAL C)</t>
  </si>
  <si>
    <t>ENC. SOCIAIS - (S/ TOTAL A) %</t>
  </si>
  <si>
    <t>SUB TOTAL</t>
  </si>
  <si>
    <t>EVENTUAIS (SUB TOTAL) %</t>
  </si>
  <si>
    <t xml:space="preserve"> PREÇO UNITÁRIO ADOTADO </t>
  </si>
  <si>
    <t>BDI %</t>
  </si>
  <si>
    <t>PREÇO UNITÁRIO CALCULADO</t>
  </si>
  <si>
    <t xml:space="preserve">         PREFEITURA MUNICIPAL DE 
         SÃO DOMINGOS DO NORTE</t>
  </si>
  <si>
    <t>MAR / 2016</t>
  </si>
  <si>
    <t>Estaiamento em contraposte</t>
  </si>
  <si>
    <t>Estaiamento em solo</t>
  </si>
  <si>
    <t>UND</t>
  </si>
  <si>
    <t>CINTA DE AÇO GALVANIZADO</t>
  </si>
  <si>
    <t>SEMIFRA-CE - I0806</t>
  </si>
  <si>
    <t>OLHAL PARA PARAFUSO DE 5/8''</t>
  </si>
  <si>
    <t>SEMIFRA-CE - I1549</t>
  </si>
  <si>
    <t>ALÇA  PREFORMADA DE DISTRIBUIÇÃO</t>
  </si>
  <si>
    <t>CABO AÇO 3/16</t>
  </si>
  <si>
    <t>SEMIFRA-CE - I0335</t>
  </si>
  <si>
    <t>M</t>
  </si>
  <si>
    <t>SEMIFRA-CE - I8213</t>
  </si>
  <si>
    <t>PARAFUSO ABAULADO M16X150MM</t>
  </si>
  <si>
    <t>SEMIFRA-CE - I1568</t>
  </si>
  <si>
    <t>CAMINHÃO COMERC. EQUIP. C/GUINDASTE</t>
  </si>
  <si>
    <t>MANILHA SAPATILHA PARA ALÇA PREFORMADA</t>
  </si>
  <si>
    <t>SEMIFRA-CE - I8077</t>
  </si>
  <si>
    <t>SEMIFRA-CE - I0705</t>
  </si>
  <si>
    <t>COMP. 0002</t>
  </si>
  <si>
    <t>CHAPA DE AÇO GALVANIZADA ESP. 0.3MM</t>
  </si>
  <si>
    <t>SEMIFRA-CE - I0537</t>
  </si>
  <si>
    <t>M²</t>
  </si>
  <si>
    <t>SCO-RJ - IT 24.70.0150</t>
  </si>
  <si>
    <t>SCO-RJ - IP 09.30.0538</t>
  </si>
  <si>
    <t>SCO-RJ - IP 14.35.0400</t>
  </si>
  <si>
    <t>Conjunto de aterramento de transformador. Fornecimento e instalacao.</t>
  </si>
  <si>
    <t>SCO-RJ - IP 19.05.0203</t>
  </si>
  <si>
    <t>SCO-RJ - IP 19.05.0153</t>
  </si>
  <si>
    <t>03</t>
  </si>
  <si>
    <t>03.01</t>
  </si>
  <si>
    <t>03.02</t>
  </si>
  <si>
    <t>03.03</t>
  </si>
  <si>
    <t>03.04</t>
  </si>
  <si>
    <t>03.05</t>
  </si>
  <si>
    <t>Cabo de cobre isolado 16mm² x 1KV</t>
  </si>
  <si>
    <t>SCO-RJ - IP 09.10.0553</t>
  </si>
  <si>
    <t>SCO-RJ - IP 39.10.0300</t>
  </si>
  <si>
    <t>SCO-RJ - IP 14.60.0100</t>
  </si>
  <si>
    <t>SCO-RJ - IP 15.55.0350</t>
  </si>
  <si>
    <t>SCO-RJ - IP 15.55.1000</t>
  </si>
  <si>
    <t>Tranformador trifásico 75kVA 25kV/220V-127V</t>
  </si>
  <si>
    <t>SCO-RJ - IP 09.10.0400</t>
  </si>
  <si>
    <t>SCO-RJ - IP 09.10.0300</t>
  </si>
  <si>
    <t>SCO-RJ - IP 14.10.0200</t>
  </si>
  <si>
    <t>Cabo de aluminio nu, 1/0AWG, com alma de aco (CAA).</t>
  </si>
  <si>
    <t>SEMINFRA-CE - I8837</t>
  </si>
  <si>
    <t>SCO-RJ - IP 14.40.0200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</si>
  <si>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</si>
  <si>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</si>
  <si>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</si>
  <si>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</si>
  <si>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</si>
  <si>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</si>
  <si>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</si>
  <si>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</si>
  <si>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</si>
  <si>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</si>
  <si>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</si>
  <si>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</si>
  <si>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 xml:space="preserve">SCO-RJ - IP 14.05.0150 </t>
  </si>
  <si>
    <t>SCO-RJ - IP 09.05.0203</t>
  </si>
  <si>
    <t>SCO-RJ - IP 14.15.0050</t>
  </si>
  <si>
    <t>SEMINFRA-CE - I8213</t>
  </si>
  <si>
    <t>SEMINFRA-CE - I0358</t>
  </si>
  <si>
    <t>SEMINFRA-CE - I8857</t>
  </si>
  <si>
    <t>06</t>
  </si>
  <si>
    <t>06.01</t>
  </si>
  <si>
    <t>06.02</t>
  </si>
  <si>
    <t>06.03</t>
  </si>
  <si>
    <t>06.04</t>
  </si>
  <si>
    <t>06.05</t>
  </si>
  <si>
    <t>06.06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</si>
  <si>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</si>
  <si>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</si>
  <si>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07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</si>
  <si>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</si>
  <si>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</si>
  <si>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</si>
  <si>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</si>
  <si>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</si>
  <si>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</si>
  <si>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</si>
  <si>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</si>
  <si>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</si>
  <si>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</si>
  <si>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Cabos de alumínio compactos protegidos 50mm²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</si>
  <si>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</si>
  <si>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</si>
  <si>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</si>
  <si>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</si>
  <si>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</si>
  <si>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</si>
  <si>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</si>
  <si>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</si>
  <si>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</si>
  <si>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</si>
  <si>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</si>
  <si>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</si>
  <si>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DO ITEM 06</t>
  </si>
  <si>
    <t>TOTAL DO ITEM 07</t>
  </si>
  <si>
    <t>TOTAL GERAL</t>
  </si>
  <si>
    <t>01.02</t>
  </si>
  <si>
    <t>SCO-RJ IP 59.20.0200</t>
  </si>
  <si>
    <t>Armacao secundaria vertical, de 4 estribos, completa, para uma rede de baixa tensao (BT), inclusive fornecimento das cintas de fixacao. Fornecimento e instalacao conforme projeto.</t>
  </si>
  <si>
    <t>Instalacao de rede de baixa tensao (BT), aerea, com cabo Multiplex, ou similar, de aluminio, exclusive fornecimento do cabo (Lance)</t>
  </si>
  <si>
    <t>Rede de alta tensao (AT), aerea, com 4 condutores de aluminio; exclusive fornecimento dos condutores (lance). Instalacao.</t>
  </si>
  <si>
    <t>Conjunto de aterramento de rede. Fornecimento e instalacao.</t>
  </si>
  <si>
    <t>Transformadores de 5Kva ate 112,5kVA, sob linha de 25kV, exclusive ferragens de suporte, chaves fusiveis com respectivas ferragens, afastadores e transformadores; inclusive interligacao de alta tensao (AT) e baixa tensao (BT), sendo esta ultima com conectores de linha. Instalacao.</t>
  </si>
  <si>
    <t>Chave Fusível 25KV-100A base C. Fornecimento e instalação conforme projeto.</t>
  </si>
  <si>
    <t>Elo fusível. Fornecimento e instalação conforme projeto.</t>
  </si>
  <si>
    <t>Conjunto suporte, afastador e conexões para montagem de transformador em poste. Fornecimento.</t>
  </si>
  <si>
    <t>Conjunto para fixacao de rede 25kV, trifasica, para fim de linha, tipo CE3, inclucive isoladores, conectores, cabos, afastadores e sustentações. Fornecimento e instalacao.</t>
  </si>
  <si>
    <t>Conjunto para fixacao de rede 25kV, trifasica, para pequenos angulos, tipo CE2, inclucive isoladores, conectores, cabos, afastadores e sustentações. Fornecimento e instalacao.</t>
  </si>
  <si>
    <t>SCO-RJ IP 59.20.0500</t>
  </si>
  <si>
    <t>Retirada de luminaria em poste com 4,50m a 9m de altura.</t>
  </si>
  <si>
    <t>SCO-RJ IP 59.20.0050</t>
  </si>
  <si>
    <t>Retirada de braco para fixacao de luminarias.</t>
  </si>
  <si>
    <t>Retirada de rede aerea de baixa tensao (BT) (lance).</t>
  </si>
  <si>
    <t>Retirada de rede aerea de média tensão (MT) (lance).</t>
  </si>
  <si>
    <t>Retirada de conjunto de ferragens em linha baixa tensao (B.T).</t>
  </si>
  <si>
    <t>Retirada de conjunto de ferragens em rede de média tensao (MT).</t>
  </si>
  <si>
    <t>SCO-RJ IP 59.20.0350</t>
  </si>
  <si>
    <t>SCO-RJ IP 59.20.0600</t>
  </si>
  <si>
    <t>SCO-RJ IP 59.20.0106</t>
  </si>
  <si>
    <t>SCO-RJ IP 59.20.0112</t>
  </si>
  <si>
    <t>Retirada de conjunto de chaves fusiveis em rede de média tensao (MT).</t>
  </si>
  <si>
    <t>Retirada de poste de concreto ou aco de 4,50m a 9m.</t>
  </si>
  <si>
    <t>01.03</t>
  </si>
  <si>
    <t>01.04</t>
  </si>
  <si>
    <t>01.05</t>
  </si>
  <si>
    <t>01.06</t>
  </si>
  <si>
    <t>01.07</t>
  </si>
  <si>
    <t>01.08</t>
  </si>
  <si>
    <t>Fornecimento e assentamento de poste concreto circular 9/400</t>
  </si>
  <si>
    <t>SINAPI - 73783/016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</si>
  <si>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</si>
  <si>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</si>
  <si>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SCO-RJ - IP 49.05.0166</t>
  </si>
  <si>
    <t>Luminária fechada para lampada VS 150W IP65 com tomada para relé</t>
  </si>
  <si>
    <t>SCO-RJ - IP 49.25.0853</t>
  </si>
  <si>
    <t>Lampada vapor de sódio 150W, 220V</t>
  </si>
  <si>
    <t>SCO-RJ - IP 49.30.0150</t>
  </si>
  <si>
    <t>Reator para lâmpada VS 150W - interno</t>
  </si>
  <si>
    <t>08</t>
  </si>
  <si>
    <t>Apoio a Fiscalização</t>
  </si>
  <si>
    <t>08.01</t>
  </si>
  <si>
    <t>IPOPES - 311318</t>
  </si>
  <si>
    <t>ms</t>
  </si>
  <si>
    <t>TOTAL DO ITEM 08</t>
  </si>
  <si>
    <t>Engenheiro Pleno (Leis Sociais = 52,25%).
Contratação do projetista para apoio a fiscalização conforme lei 8666/93, Art. 9º, 1º "É permitida a participação do autor do projeto ou da empresa a que se refere o inciso II deste artigo , na licitação de obra ou serviço, ou na execução, como consultor técnico, nas funções de fiscalização, supervisão ou gerenciamento, exclusivamente a serviço da administração interessada.</t>
  </si>
  <si>
    <t>RUA PROJETADA 02 E 07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</si>
</sst>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  <numFmt numFmtId="172" formatCode="0.0%"/>
    <numFmt numFmtId="173" formatCode="_(&quot;R$ &quot;* #,##0_);_(&quot;R$ &quot;* \(#,##0\);_(&quot;R$ &quot;* &quot;-&quot;_);_(@_)"/>
    <numFmt numFmtId="174" formatCode="_(&quot;R$ &quot;* #,##0.00_);_(&quot;R$ &quot;* \(#,##0.00\);_(&quot;R$ &quot;* \-??_);_(@_)"/>
    <numFmt numFmtId="175" formatCode="_([$€-2]* #,##0.00_);_([$€-2]* \(#,##0.00\);_([$€-2]* &quot;-&quot;??_)"/>
    <numFmt numFmtId="176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4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8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44" fontId="0" fillId="0" borderId="0" xfId="47" applyFont="1" applyAlignment="1">
      <alignment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2" fontId="5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2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horizontal="center" vertical="center"/>
    </xf>
    <xf numFmtId="44" fontId="7" fillId="33" borderId="0" xfId="47" applyFont="1" applyFill="1" applyBorder="1" applyAlignment="1">
      <alignment horizontal="right" vertical="center"/>
    </xf>
    <xf numFmtId="44" fontId="7" fillId="33" borderId="21" xfId="47" applyFont="1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>
      <alignment horizontal="left" vertical="center" wrapText="1"/>
    </xf>
    <xf numFmtId="10" fontId="11" fillId="0" borderId="21" xfId="56" applyNumberFormat="1" applyFont="1" applyFill="1" applyBorder="1" applyAlignment="1">
      <alignment horizontal="left" vertical="center" wrapText="1"/>
    </xf>
    <xf numFmtId="169" fontId="7" fillId="33" borderId="0" xfId="74" applyNumberFormat="1" applyFont="1" applyFill="1" applyBorder="1" applyAlignment="1">
      <alignment horizontal="right" vertical="center" wrapText="1"/>
    </xf>
    <xf numFmtId="49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169" fontId="7" fillId="33" borderId="0" xfId="74" applyNumberFormat="1" applyFont="1" applyFill="1" applyBorder="1" applyAlignment="1" applyProtection="1">
      <alignment horizontal="right" vertical="center"/>
      <protection/>
    </xf>
    <xf numFmtId="9" fontId="11" fillId="33" borderId="0" xfId="56" applyFont="1" applyFill="1" applyBorder="1" applyAlignment="1" applyProtection="1">
      <alignment horizontal="left" vertical="center" wrapText="1"/>
      <protection/>
    </xf>
    <xf numFmtId="0" fontId="10" fillId="33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0" fontId="11" fillId="0" borderId="23" xfId="56" applyNumberFormat="1" applyFont="1" applyFill="1" applyBorder="1" applyAlignment="1" applyProtection="1">
      <alignment horizontal="left" vertical="center" wrapText="1"/>
      <protection/>
    </xf>
    <xf numFmtId="44" fontId="11" fillId="33" borderId="24" xfId="47" applyFont="1" applyFill="1" applyBorder="1" applyAlignment="1">
      <alignment horizontal="center" vertical="center" wrapText="1"/>
    </xf>
    <xf numFmtId="44" fontId="11" fillId="33" borderId="25" xfId="47" applyFont="1" applyFill="1" applyBorder="1" applyAlignment="1" applyProtection="1">
      <alignment horizontal="center" vertical="center" wrapText="1"/>
      <protection/>
    </xf>
    <xf numFmtId="0" fontId="50" fillId="0" borderId="26" xfId="0" applyFont="1" applyBorder="1" applyAlignment="1">
      <alignment horizontal="center" vertical="center"/>
    </xf>
    <xf numFmtId="2" fontId="50" fillId="0" borderId="26" xfId="0" applyNumberFormat="1" applyFont="1" applyBorder="1" applyAlignment="1">
      <alignment horizontal="center" vertical="center"/>
    </xf>
    <xf numFmtId="44" fontId="0" fillId="0" borderId="12" xfId="47" applyFont="1" applyBorder="1" applyAlignment="1">
      <alignment vertical="center"/>
    </xf>
    <xf numFmtId="44" fontId="0" fillId="0" borderId="13" xfId="47" applyFont="1" applyBorder="1" applyAlignment="1">
      <alignment vertical="center"/>
    </xf>
    <xf numFmtId="44" fontId="0" fillId="0" borderId="27" xfId="47" applyFont="1" applyBorder="1" applyAlignment="1">
      <alignment vertical="center"/>
    </xf>
    <xf numFmtId="44" fontId="0" fillId="0" borderId="28" xfId="47" applyFont="1" applyBorder="1" applyAlignment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4" fontId="0" fillId="0" borderId="11" xfId="47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4" fontId="0" fillId="0" borderId="31" xfId="47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/>
    </xf>
    <xf numFmtId="44" fontId="0" fillId="0" borderId="26" xfId="47" applyFont="1" applyBorder="1" applyAlignment="1">
      <alignment vertical="center"/>
    </xf>
    <xf numFmtId="44" fontId="0" fillId="0" borderId="34" xfId="47" applyFont="1" applyBorder="1" applyAlignment="1">
      <alignment vertical="center"/>
    </xf>
    <xf numFmtId="44" fontId="0" fillId="0" borderId="35" xfId="47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7" fillId="33" borderId="20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vertical="center" wrapText="1"/>
    </xf>
    <xf numFmtId="0" fontId="4" fillId="0" borderId="17" xfId="52" applyBorder="1">
      <alignment/>
      <protection/>
    </xf>
    <xf numFmtId="0" fontId="3" fillId="33" borderId="17" xfId="52" applyFont="1" applyFill="1" applyBorder="1" applyAlignment="1">
      <alignment vertical="center" wrapText="1"/>
      <protection/>
    </xf>
    <xf numFmtId="0" fontId="3" fillId="33" borderId="18" xfId="52" applyFont="1" applyFill="1" applyBorder="1" applyAlignment="1">
      <alignment vertical="center" wrapText="1"/>
      <protection/>
    </xf>
    <xf numFmtId="0" fontId="3" fillId="33" borderId="19" xfId="52" applyFont="1" applyFill="1" applyBorder="1" applyAlignment="1">
      <alignment vertical="center" wrapText="1"/>
      <protection/>
    </xf>
    <xf numFmtId="0" fontId="4" fillId="0" borderId="0" xfId="52" applyAlignment="1">
      <alignment vertical="center"/>
      <protection/>
    </xf>
    <xf numFmtId="0" fontId="2" fillId="33" borderId="20" xfId="52" applyFont="1" applyFill="1" applyBorder="1" applyAlignment="1">
      <alignment vertical="center" wrapText="1"/>
      <protection/>
    </xf>
    <xf numFmtId="166" fontId="5" fillId="33" borderId="20" xfId="52" applyNumberFormat="1" applyFont="1" applyFill="1" applyBorder="1" applyAlignment="1">
      <alignment horizontal="center" vertical="center"/>
      <protection/>
    </xf>
    <xf numFmtId="168" fontId="7" fillId="33" borderId="0" xfId="49" applyFont="1" applyFill="1" applyBorder="1" applyAlignment="1">
      <alignment horizontal="right" vertical="center"/>
    </xf>
    <xf numFmtId="168" fontId="7" fillId="33" borderId="21" xfId="49" applyFont="1" applyFill="1" applyBorder="1" applyAlignment="1" applyProtection="1">
      <alignment horizontal="right" vertical="center"/>
      <protection/>
    </xf>
    <xf numFmtId="0" fontId="10" fillId="33" borderId="0" xfId="52" applyFont="1" applyFill="1" applyBorder="1" applyAlignment="1">
      <alignment vertical="center" wrapText="1"/>
      <protection/>
    </xf>
    <xf numFmtId="49" fontId="8" fillId="33" borderId="22" xfId="52" applyNumberFormat="1" applyFont="1" applyFill="1" applyBorder="1" applyAlignment="1">
      <alignment vertical="center" wrapText="1"/>
      <protection/>
    </xf>
    <xf numFmtId="0" fontId="7" fillId="0" borderId="23" xfId="52" applyFont="1" applyFill="1" applyBorder="1" applyAlignment="1">
      <alignment/>
      <protection/>
    </xf>
    <xf numFmtId="0" fontId="6" fillId="33" borderId="20" xfId="52" applyFont="1" applyFill="1" applyBorder="1" applyAlignment="1">
      <alignment vertical="center" wrapText="1"/>
      <protection/>
    </xf>
    <xf numFmtId="49" fontId="11" fillId="0" borderId="19" xfId="52" applyNumberFormat="1" applyFont="1" applyFill="1" applyBorder="1" applyAlignment="1">
      <alignment horizontal="left" vertical="center" wrapText="1"/>
      <protection/>
    </xf>
    <xf numFmtId="0" fontId="11" fillId="33" borderId="20" xfId="52" applyFont="1" applyFill="1" applyBorder="1" applyAlignment="1">
      <alignment vertical="center" wrapText="1"/>
      <protection/>
    </xf>
    <xf numFmtId="10" fontId="11" fillId="0" borderId="21" xfId="57" applyNumberFormat="1" applyFont="1" applyFill="1" applyBorder="1" applyAlignment="1">
      <alignment horizontal="left" vertical="center" wrapText="1"/>
    </xf>
    <xf numFmtId="10" fontId="11" fillId="0" borderId="23" xfId="57" applyNumberFormat="1" applyFont="1" applyFill="1" applyBorder="1" applyAlignment="1" applyProtection="1">
      <alignment horizontal="left" vertical="center" wrapText="1"/>
      <protection/>
    </xf>
    <xf numFmtId="0" fontId="4" fillId="0" borderId="0" xfId="52" applyBorder="1" applyAlignment="1">
      <alignment vertical="center"/>
      <protection/>
    </xf>
    <xf numFmtId="0" fontId="16" fillId="0" borderId="36" xfId="52" applyFont="1" applyBorder="1" applyAlignment="1">
      <alignment horizontal="center" vertical="center" wrapText="1"/>
      <protection/>
    </xf>
    <xf numFmtId="0" fontId="16" fillId="0" borderId="36" xfId="52" applyFont="1" applyFill="1" applyBorder="1" applyAlignment="1">
      <alignment vertical="center" wrapText="1"/>
      <protection/>
    </xf>
    <xf numFmtId="1" fontId="16" fillId="0" borderId="37" xfId="52" applyNumberFormat="1" applyFont="1" applyBorder="1" applyAlignment="1" quotePrefix="1">
      <alignment horizontal="center" vertical="center" wrapText="1"/>
      <protection/>
    </xf>
    <xf numFmtId="0" fontId="17" fillId="0" borderId="38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0" xfId="52" applyFont="1" applyFill="1" applyBorder="1" applyAlignment="1">
      <alignment vertical="center" wrapText="1"/>
      <protection/>
    </xf>
    <xf numFmtId="0" fontId="16" fillId="0" borderId="31" xfId="52" applyFont="1" applyFill="1" applyBorder="1" applyAlignment="1">
      <alignment horizontal="center" vertical="center" wrapText="1"/>
      <protection/>
    </xf>
    <xf numFmtId="4" fontId="16" fillId="0" borderId="31" xfId="75" applyNumberFormat="1" applyFont="1" applyFill="1" applyBorder="1" applyAlignment="1" applyProtection="1">
      <alignment horizontal="center" vertical="center" wrapText="1"/>
      <protection/>
    </xf>
    <xf numFmtId="171" fontId="16" fillId="0" borderId="31" xfId="52" applyNumberFormat="1" applyFont="1" applyFill="1" applyBorder="1" applyAlignment="1">
      <alignment vertical="center" wrapText="1"/>
      <protection/>
    </xf>
    <xf numFmtId="4" fontId="16" fillId="0" borderId="14" xfId="75" applyNumberFormat="1" applyFont="1" applyFill="1" applyBorder="1" applyAlignment="1" applyProtection="1">
      <alignment horizontal="center" vertical="center" wrapText="1"/>
      <protection/>
    </xf>
    <xf numFmtId="0" fontId="16" fillId="0" borderId="24" xfId="52" applyFont="1" applyFill="1" applyBorder="1" applyAlignment="1">
      <alignment vertical="center" wrapText="1"/>
      <protection/>
    </xf>
    <xf numFmtId="0" fontId="16" fillId="0" borderId="29" xfId="52" applyFont="1" applyFill="1" applyBorder="1" applyAlignment="1">
      <alignment horizontal="center" vertical="center" wrapText="1"/>
      <protection/>
    </xf>
    <xf numFmtId="4" fontId="16" fillId="0" borderId="29" xfId="75" applyNumberFormat="1" applyFont="1" applyFill="1" applyBorder="1" applyAlignment="1" applyProtection="1">
      <alignment horizontal="center" vertical="center" wrapText="1"/>
      <protection/>
    </xf>
    <xf numFmtId="171" fontId="16" fillId="0" borderId="29" xfId="52" applyNumberFormat="1" applyFont="1" applyFill="1" applyBorder="1" applyAlignment="1">
      <alignment vertical="center" wrapText="1"/>
      <protection/>
    </xf>
    <xf numFmtId="4" fontId="16" fillId="0" borderId="11" xfId="75" applyNumberFormat="1" applyFont="1" applyFill="1" applyBorder="1" applyAlignment="1" applyProtection="1">
      <alignment horizontal="center" vertical="center" wrapText="1"/>
      <protection/>
    </xf>
    <xf numFmtId="4" fontId="16" fillId="0" borderId="25" xfId="75" applyNumberFormat="1" applyFont="1" applyFill="1" applyBorder="1" applyAlignment="1" applyProtection="1">
      <alignment horizontal="center" vertical="center" wrapText="1"/>
      <protection/>
    </xf>
    <xf numFmtId="0" fontId="17" fillId="0" borderId="38" xfId="52" applyFont="1" applyBorder="1" applyAlignment="1">
      <alignment horizontal="right" vertical="center" wrapText="1"/>
      <protection/>
    </xf>
    <xf numFmtId="0" fontId="17" fillId="0" borderId="39" xfId="52" applyFont="1" applyFill="1" applyBorder="1" applyAlignment="1">
      <alignment horizontal="center" vertical="center" wrapText="1"/>
      <protection/>
    </xf>
    <xf numFmtId="171" fontId="16" fillId="0" borderId="39" xfId="52" applyNumberFormat="1" applyFont="1" applyFill="1" applyBorder="1" applyAlignment="1">
      <alignment vertical="center" wrapText="1"/>
      <protection/>
    </xf>
    <xf numFmtId="4" fontId="16" fillId="0" borderId="39" xfId="75" applyNumberFormat="1" applyFont="1" applyFill="1" applyBorder="1" applyAlignment="1" applyProtection="1">
      <alignment horizontal="center" vertical="center" wrapText="1"/>
      <protection/>
    </xf>
    <xf numFmtId="4" fontId="17" fillId="0" borderId="40" xfId="52" applyNumberFormat="1" applyFont="1" applyFill="1" applyBorder="1" applyAlignment="1">
      <alignment horizontal="center" vertical="center" wrapText="1"/>
      <protection/>
    </xf>
    <xf numFmtId="0" fontId="17" fillId="0" borderId="39" xfId="52" applyFont="1" applyFill="1" applyBorder="1" applyAlignment="1">
      <alignment vertical="center" wrapText="1"/>
      <protection/>
    </xf>
    <xf numFmtId="0" fontId="17" fillId="0" borderId="38" xfId="52" applyFont="1" applyBorder="1" applyAlignment="1">
      <alignment vertical="center" wrapText="1"/>
      <protection/>
    </xf>
    <xf numFmtId="0" fontId="17" fillId="0" borderId="39" xfId="52" applyFont="1" applyBorder="1" applyAlignment="1">
      <alignment vertical="center" wrapText="1"/>
      <protection/>
    </xf>
    <xf numFmtId="0" fontId="16" fillId="0" borderId="30" xfId="52" applyFont="1" applyBorder="1" applyAlignment="1">
      <alignment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167" fontId="16" fillId="0" borderId="31" xfId="75" applyFont="1" applyFill="1" applyBorder="1" applyAlignment="1" applyProtection="1">
      <alignment vertical="center" wrapText="1"/>
      <protection/>
    </xf>
    <xf numFmtId="0" fontId="16" fillId="0" borderId="15" xfId="52" applyFont="1" applyBorder="1" applyAlignment="1">
      <alignment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167" fontId="16" fillId="0" borderId="12" xfId="75" applyFont="1" applyFill="1" applyBorder="1" applyAlignment="1" applyProtection="1">
      <alignment vertical="center" wrapText="1"/>
      <protection/>
    </xf>
    <xf numFmtId="10" fontId="16" fillId="0" borderId="12" xfId="57" applyNumberFormat="1" applyFont="1" applyBorder="1" applyAlignment="1">
      <alignment horizontal="center" vertical="center" wrapText="1"/>
    </xf>
    <xf numFmtId="0" fontId="16" fillId="34" borderId="12" xfId="52" applyFont="1" applyFill="1" applyBorder="1" applyAlignment="1">
      <alignment horizontal="center" vertical="center" wrapText="1"/>
      <protection/>
    </xf>
    <xf numFmtId="167" fontId="16" fillId="34" borderId="12" xfId="75" applyFont="1" applyFill="1" applyBorder="1" applyAlignment="1" applyProtection="1">
      <alignment vertical="center" wrapText="1"/>
      <protection/>
    </xf>
    <xf numFmtId="167" fontId="16" fillId="0" borderId="41" xfId="75" applyFont="1" applyFill="1" applyBorder="1" applyAlignment="1" applyProtection="1">
      <alignment vertical="center" wrapText="1"/>
      <protection/>
    </xf>
    <xf numFmtId="167" fontId="16" fillId="34" borderId="41" xfId="75" applyFont="1" applyFill="1" applyBorder="1" applyAlignment="1" applyProtection="1">
      <alignment vertical="center" wrapText="1"/>
      <protection/>
    </xf>
    <xf numFmtId="0" fontId="17" fillId="0" borderId="42" xfId="52" applyFont="1" applyBorder="1" applyAlignment="1">
      <alignment horizontal="right" vertical="center" wrapText="1"/>
      <protection/>
    </xf>
    <xf numFmtId="0" fontId="17" fillId="34" borderId="11" xfId="52" applyFont="1" applyFill="1" applyBorder="1" applyAlignment="1">
      <alignment horizontal="center" vertical="center" wrapText="1"/>
      <protection/>
    </xf>
    <xf numFmtId="167" fontId="17" fillId="34" borderId="43" xfId="75" applyFont="1" applyFill="1" applyBorder="1" applyAlignment="1" applyProtection="1">
      <alignment vertical="center" wrapText="1"/>
      <protection/>
    </xf>
    <xf numFmtId="0" fontId="4" fillId="0" borderId="0" xfId="52" applyAlignment="1">
      <alignment horizontal="center" vertical="center"/>
      <protection/>
    </xf>
    <xf numFmtId="0" fontId="17" fillId="0" borderId="37" xfId="52" applyFont="1" applyBorder="1" applyAlignment="1">
      <alignment horizontal="right" vertical="center" wrapText="1"/>
      <protection/>
    </xf>
    <xf numFmtId="0" fontId="17" fillId="0" borderId="44" xfId="52" applyFont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vertical="center" wrapText="1"/>
      <protection/>
    </xf>
    <xf numFmtId="4" fontId="17" fillId="0" borderId="45" xfId="52" applyNumberFormat="1" applyFont="1" applyFill="1" applyBorder="1" applyAlignment="1">
      <alignment horizontal="center" vertical="center" wrapText="1"/>
      <protection/>
    </xf>
    <xf numFmtId="1" fontId="0" fillId="0" borderId="12" xfId="0" applyNumberFormat="1" applyBorder="1" applyAlignment="1">
      <alignment horizontal="center" vertical="center" wrapText="1"/>
    </xf>
    <xf numFmtId="0" fontId="16" fillId="0" borderId="46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4" fontId="16" fillId="0" borderId="12" xfId="75" applyNumberFormat="1" applyFont="1" applyFill="1" applyBorder="1" applyAlignment="1" applyProtection="1">
      <alignment horizontal="center" vertical="center" wrapText="1"/>
      <protection/>
    </xf>
    <xf numFmtId="171" fontId="16" fillId="0" borderId="12" xfId="52" applyNumberFormat="1" applyFont="1" applyFill="1" applyBorder="1" applyAlignment="1">
      <alignment vertical="center" wrapText="1"/>
      <protection/>
    </xf>
    <xf numFmtId="0" fontId="16" fillId="0" borderId="16" xfId="52" applyFont="1" applyFill="1" applyBorder="1" applyAlignment="1">
      <alignment vertical="center" wrapText="1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4" fontId="16" fillId="0" borderId="13" xfId="75" applyNumberFormat="1" applyFont="1" applyFill="1" applyBorder="1" applyAlignment="1" applyProtection="1">
      <alignment horizontal="center" vertical="center" wrapText="1"/>
      <protection/>
    </xf>
    <xf numFmtId="171" fontId="16" fillId="0" borderId="13" xfId="52" applyNumberFormat="1" applyFont="1" applyFill="1" applyBorder="1" applyAlignment="1">
      <alignment vertical="center" wrapText="1"/>
      <protection/>
    </xf>
    <xf numFmtId="4" fontId="16" fillId="0" borderId="27" xfId="75" applyNumberFormat="1" applyFont="1" applyFill="1" applyBorder="1" applyAlignment="1" applyProtection="1">
      <alignment horizontal="center" vertical="center" wrapText="1"/>
      <protection/>
    </xf>
    <xf numFmtId="0" fontId="16" fillId="0" borderId="15" xfId="52" applyFont="1" applyFill="1" applyBorder="1" applyAlignment="1">
      <alignment vertical="center" wrapText="1"/>
      <protection/>
    </xf>
    <xf numFmtId="4" fontId="16" fillId="0" borderId="28" xfId="75" applyNumberFormat="1" applyFont="1" applyFill="1" applyBorder="1" applyAlignment="1" applyProtection="1">
      <alignment horizontal="center" vertical="center" wrapText="1"/>
      <protection/>
    </xf>
    <xf numFmtId="0" fontId="16" fillId="0" borderId="42" xfId="52" applyFont="1" applyFill="1" applyBorder="1" applyAlignment="1">
      <alignment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171" fontId="16" fillId="0" borderId="11" xfId="52" applyNumberFormat="1" applyFont="1" applyFill="1" applyBorder="1" applyAlignment="1">
      <alignment vertical="center" wrapText="1"/>
      <protection/>
    </xf>
    <xf numFmtId="4" fontId="16" fillId="0" borderId="35" xfId="75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/>
    </xf>
    <xf numFmtId="0" fontId="0" fillId="0" borderId="16" xfId="0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42" xfId="0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/>
    </xf>
    <xf numFmtId="44" fontId="0" fillId="0" borderId="31" xfId="47" applyFont="1" applyBorder="1" applyAlignment="1">
      <alignment vertical="center"/>
    </xf>
    <xf numFmtId="44" fontId="0" fillId="0" borderId="14" xfId="47" applyFon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66" fontId="7" fillId="33" borderId="26" xfId="0" applyNumberFormat="1" applyFont="1" applyFill="1" applyBorder="1" applyAlignment="1">
      <alignment horizontal="right" vertical="center"/>
    </xf>
    <xf numFmtId="168" fontId="7" fillId="33" borderId="26" xfId="49" applyFont="1" applyFill="1" applyBorder="1" applyAlignment="1">
      <alignment horizontal="right" vertical="center"/>
    </xf>
    <xf numFmtId="10" fontId="7" fillId="33" borderId="34" xfId="57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44" fontId="0" fillId="0" borderId="49" xfId="47" applyFont="1" applyBorder="1" applyAlignment="1">
      <alignment vertical="center"/>
    </xf>
    <xf numFmtId="44" fontId="0" fillId="0" borderId="50" xfId="47" applyFon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44" fontId="11" fillId="33" borderId="54" xfId="47" applyFont="1" applyFill="1" applyBorder="1" applyAlignment="1">
      <alignment horizontal="center" vertical="center"/>
    </xf>
    <xf numFmtId="44" fontId="11" fillId="33" borderId="55" xfId="47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10" fontId="7" fillId="33" borderId="43" xfId="57" applyNumberFormat="1" applyFont="1" applyFill="1" applyBorder="1" applyAlignment="1">
      <alignment horizontal="right" vertical="center"/>
    </xf>
    <xf numFmtId="10" fontId="7" fillId="33" borderId="59" xfId="57" applyNumberFormat="1" applyFont="1" applyFill="1" applyBorder="1" applyAlignment="1">
      <alignment horizontal="right" vertical="center"/>
    </xf>
    <xf numFmtId="169" fontId="7" fillId="0" borderId="60" xfId="74" applyNumberFormat="1" applyFont="1" applyFill="1" applyBorder="1" applyAlignment="1">
      <alignment horizontal="right" vertical="center" wrapText="1"/>
    </xf>
    <xf numFmtId="44" fontId="11" fillId="33" borderId="61" xfId="47" applyFont="1" applyFill="1" applyBorder="1" applyAlignment="1">
      <alignment horizontal="center" vertical="center"/>
    </xf>
    <xf numFmtId="44" fontId="11" fillId="33" borderId="62" xfId="47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50" fillId="0" borderId="17" xfId="0" applyFont="1" applyBorder="1" applyAlignment="1" quotePrefix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20" xfId="0" applyFont="1" applyBorder="1" applyAlignment="1" quotePrefix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3" xfId="0" applyFont="1" applyBorder="1" applyAlignment="1" quotePrefix="1">
      <alignment horizontal="center" vertical="center"/>
    </xf>
    <xf numFmtId="0" fontId="50" fillId="0" borderId="34" xfId="0" applyFont="1" applyBorder="1" applyAlignment="1" quotePrefix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169" fontId="12" fillId="33" borderId="13" xfId="74" applyNumberFormat="1" applyFont="1" applyFill="1" applyBorder="1" applyAlignment="1" applyProtection="1">
      <alignment horizontal="center" vertical="center" wrapText="1"/>
      <protection/>
    </xf>
    <xf numFmtId="169" fontId="12" fillId="33" borderId="29" xfId="74" applyNumberFormat="1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166" fontId="12" fillId="33" borderId="61" xfId="0" applyNumberFormat="1" applyFont="1" applyFill="1" applyBorder="1" applyAlignment="1">
      <alignment horizontal="center" vertical="center" wrapText="1"/>
    </xf>
    <xf numFmtId="166" fontId="12" fillId="33" borderId="66" xfId="0" applyNumberFormat="1" applyFont="1" applyFill="1" applyBorder="1" applyAlignment="1">
      <alignment horizontal="center" vertical="center" wrapText="1"/>
    </xf>
    <xf numFmtId="44" fontId="11" fillId="33" borderId="16" xfId="47" applyFont="1" applyFill="1" applyBorder="1" applyAlignment="1">
      <alignment horizontal="center" vertical="center" wrapText="1"/>
    </xf>
    <xf numFmtId="44" fontId="11" fillId="33" borderId="27" xfId="47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50" fillId="0" borderId="21" xfId="0" applyFont="1" applyBorder="1" applyAlignment="1" quotePrefix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9" fontId="7" fillId="0" borderId="18" xfId="74" applyNumberFormat="1" applyFont="1" applyFill="1" applyBorder="1" applyAlignment="1">
      <alignment horizontal="right" vertical="center" wrapText="1"/>
    </xf>
    <xf numFmtId="169" fontId="7" fillId="0" borderId="0" xfId="74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44" fontId="11" fillId="33" borderId="33" xfId="47" applyFont="1" applyFill="1" applyBorder="1" applyAlignment="1">
      <alignment horizontal="center" vertical="center"/>
    </xf>
    <xf numFmtId="44" fontId="11" fillId="33" borderId="34" xfId="47" applyFont="1" applyFill="1" applyBorder="1" applyAlignment="1">
      <alignment horizontal="center" vertical="center"/>
    </xf>
    <xf numFmtId="0" fontId="13" fillId="33" borderId="17" xfId="52" applyFont="1" applyFill="1" applyBorder="1" applyAlignment="1">
      <alignment horizontal="left" vertical="center" wrapText="1" indent="8"/>
      <protection/>
    </xf>
    <xf numFmtId="0" fontId="13" fillId="33" borderId="18" xfId="52" applyFont="1" applyFill="1" applyBorder="1" applyAlignment="1">
      <alignment horizontal="left" vertical="center" wrapText="1" indent="8"/>
      <protection/>
    </xf>
    <xf numFmtId="0" fontId="13" fillId="33" borderId="19" xfId="52" applyFont="1" applyFill="1" applyBorder="1" applyAlignment="1">
      <alignment horizontal="left" vertical="center" wrapText="1" indent="8"/>
      <protection/>
    </xf>
    <xf numFmtId="0" fontId="13" fillId="33" borderId="20" xfId="52" applyFont="1" applyFill="1" applyBorder="1" applyAlignment="1">
      <alignment horizontal="left" vertical="center" wrapText="1" indent="8"/>
      <protection/>
    </xf>
    <xf numFmtId="0" fontId="13" fillId="33" borderId="0" xfId="52" applyFont="1" applyFill="1" applyBorder="1" applyAlignment="1">
      <alignment horizontal="left" vertical="center" wrapText="1" indent="8"/>
      <protection/>
    </xf>
    <xf numFmtId="0" fontId="13" fillId="33" borderId="21" xfId="52" applyFont="1" applyFill="1" applyBorder="1" applyAlignment="1">
      <alignment horizontal="left" vertical="center" wrapText="1" indent="8"/>
      <protection/>
    </xf>
    <xf numFmtId="0" fontId="13" fillId="33" borderId="22" xfId="52" applyFont="1" applyFill="1" applyBorder="1" applyAlignment="1">
      <alignment horizontal="left" vertical="center" wrapText="1" indent="8"/>
      <protection/>
    </xf>
    <xf numFmtId="0" fontId="13" fillId="33" borderId="60" xfId="52" applyFont="1" applyFill="1" applyBorder="1" applyAlignment="1">
      <alignment horizontal="left" vertical="center" wrapText="1" indent="8"/>
      <protection/>
    </xf>
    <xf numFmtId="0" fontId="13" fillId="33" borderId="23" xfId="52" applyFont="1" applyFill="1" applyBorder="1" applyAlignment="1">
      <alignment horizontal="left" vertical="center" wrapText="1" indent="8"/>
      <protection/>
    </xf>
    <xf numFmtId="0" fontId="14" fillId="0" borderId="22" xfId="52" applyFont="1" applyFill="1" applyBorder="1" applyAlignment="1">
      <alignment horizontal="center"/>
      <protection/>
    </xf>
    <xf numFmtId="0" fontId="14" fillId="0" borderId="60" xfId="52" applyFont="1" applyFill="1" applyBorder="1" applyAlignment="1">
      <alignment horizontal="center"/>
      <protection/>
    </xf>
    <xf numFmtId="0" fontId="14" fillId="0" borderId="23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169" fontId="7" fillId="0" borderId="17" xfId="75" applyNumberFormat="1" applyFont="1" applyFill="1" applyBorder="1" applyAlignment="1">
      <alignment horizontal="right" vertical="center" wrapText="1"/>
    </xf>
    <xf numFmtId="169" fontId="7" fillId="0" borderId="18" xfId="75" applyNumberFormat="1" applyFont="1" applyFill="1" applyBorder="1" applyAlignment="1">
      <alignment horizontal="right" vertical="center" wrapText="1"/>
    </xf>
    <xf numFmtId="0" fontId="7" fillId="33" borderId="67" xfId="52" applyFont="1" applyFill="1" applyBorder="1" applyAlignment="1">
      <alignment horizontal="left" vertical="center" wrapText="1"/>
      <protection/>
    </xf>
    <xf numFmtId="0" fontId="7" fillId="33" borderId="21" xfId="52" applyFont="1" applyFill="1" applyBorder="1" applyAlignment="1">
      <alignment horizontal="left" vertical="center" wrapText="1"/>
      <protection/>
    </xf>
    <xf numFmtId="169" fontId="7" fillId="0" borderId="20" xfId="75" applyNumberFormat="1" applyFont="1" applyFill="1" applyBorder="1" applyAlignment="1">
      <alignment horizontal="right" vertical="center" wrapText="1"/>
    </xf>
    <xf numFmtId="169" fontId="7" fillId="0" borderId="0" xfId="75" applyNumberFormat="1" applyFont="1" applyFill="1" applyBorder="1" applyAlignment="1">
      <alignment horizontal="right" vertical="center" wrapText="1"/>
    </xf>
    <xf numFmtId="0" fontId="7" fillId="33" borderId="22" xfId="52" applyFont="1" applyFill="1" applyBorder="1" applyAlignment="1">
      <alignment horizontal="left" vertical="center" wrapText="1"/>
      <protection/>
    </xf>
    <xf numFmtId="0" fontId="7" fillId="33" borderId="60" xfId="52" applyFont="1" applyFill="1" applyBorder="1" applyAlignment="1">
      <alignment horizontal="left" vertical="center" wrapText="1"/>
      <protection/>
    </xf>
    <xf numFmtId="0" fontId="7" fillId="33" borderId="23" xfId="52" applyFont="1" applyFill="1" applyBorder="1" applyAlignment="1">
      <alignment horizontal="left" vertical="center" wrapText="1"/>
      <protection/>
    </xf>
    <xf numFmtId="169" fontId="7" fillId="0" borderId="22" xfId="75" applyNumberFormat="1" applyFont="1" applyFill="1" applyBorder="1" applyAlignment="1">
      <alignment horizontal="right" vertical="center" wrapText="1"/>
    </xf>
    <xf numFmtId="169" fontId="7" fillId="0" borderId="60" xfId="75" applyNumberFormat="1" applyFont="1" applyFill="1" applyBorder="1" applyAlignment="1">
      <alignment horizontal="right" vertical="center" wrapText="1"/>
    </xf>
    <xf numFmtId="0" fontId="15" fillId="0" borderId="38" xfId="52" applyFont="1" applyBorder="1" applyAlignment="1">
      <alignment horizontal="center" vertical="center" wrapText="1"/>
      <protection/>
    </xf>
    <xf numFmtId="0" fontId="15" fillId="0" borderId="39" xfId="52" applyFont="1" applyBorder="1" applyAlignment="1">
      <alignment horizontal="center" vertical="center" wrapText="1"/>
      <protection/>
    </xf>
    <xf numFmtId="0" fontId="15" fillId="0" borderId="40" xfId="52" applyFont="1" applyBorder="1" applyAlignment="1">
      <alignment horizontal="center" vertical="center" wrapText="1"/>
      <protection/>
    </xf>
    <xf numFmtId="0" fontId="16" fillId="0" borderId="38" xfId="52" applyFont="1" applyBorder="1" applyAlignment="1">
      <alignment horizontal="center" vertical="center" wrapText="1"/>
      <protection/>
    </xf>
    <xf numFmtId="0" fontId="16" fillId="0" borderId="40" xfId="52" applyFont="1" applyBorder="1" applyAlignment="1">
      <alignment horizontal="center" vertical="center" wrapText="1"/>
      <protection/>
    </xf>
    <xf numFmtId="0" fontId="16" fillId="0" borderId="44" xfId="52" applyFont="1" applyBorder="1" applyAlignment="1">
      <alignment horizontal="center" vertical="center" wrapText="1"/>
      <protection/>
    </xf>
    <xf numFmtId="170" fontId="16" fillId="0" borderId="44" xfId="52" applyNumberFormat="1" applyFont="1" applyFill="1" applyBorder="1" applyAlignment="1" applyProtection="1" quotePrefix="1">
      <alignment horizontal="center" vertical="center" wrapText="1"/>
      <protection locked="0"/>
    </xf>
    <xf numFmtId="170" fontId="16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17" fillId="0" borderId="68" xfId="52" applyFont="1" applyBorder="1" applyAlignment="1">
      <alignment horizontal="center" vertical="center" wrapText="1"/>
      <protection/>
    </xf>
    <xf numFmtId="0" fontId="17" fillId="0" borderId="46" xfId="52" applyFont="1" applyBorder="1" applyAlignment="1">
      <alignment horizontal="center" vertical="center" wrapText="1"/>
      <protection/>
    </xf>
    <xf numFmtId="0" fontId="17" fillId="0" borderId="69" xfId="52" applyFont="1" applyBorder="1" applyAlignment="1">
      <alignment horizontal="center" vertical="center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33" xfId="52" applyFont="1" applyBorder="1" applyAlignment="1">
      <alignment horizontal="left" vertical="center" wrapText="1"/>
      <protection/>
    </xf>
    <xf numFmtId="0" fontId="17" fillId="0" borderId="26" xfId="52" applyFont="1" applyBorder="1" applyAlignment="1">
      <alignment horizontal="left" vertical="center" wrapText="1"/>
      <protection/>
    </xf>
    <xf numFmtId="0" fontId="17" fillId="0" borderId="34" xfId="52" applyFont="1" applyBorder="1" applyAlignment="1">
      <alignment horizontal="left" vertical="center" wrapText="1"/>
      <protection/>
    </xf>
    <xf numFmtId="0" fontId="17" fillId="0" borderId="17" xfId="52" applyFont="1" applyBorder="1" applyAlignment="1">
      <alignment horizontal="left" vertical="center" wrapText="1"/>
      <protection/>
    </xf>
    <xf numFmtId="0" fontId="17" fillId="0" borderId="18" xfId="52" applyFont="1" applyBorder="1" applyAlignment="1">
      <alignment horizontal="left" vertical="center" wrapText="1"/>
      <protection/>
    </xf>
    <xf numFmtId="0" fontId="17" fillId="0" borderId="19" xfId="52" applyFont="1" applyBorder="1" applyAlignment="1">
      <alignment horizontal="left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0" fontId="16" fillId="0" borderId="21" xfId="52" applyFont="1" applyFill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28" xfId="52" applyFont="1" applyBorder="1" applyAlignment="1">
      <alignment horizontal="center" vertical="center" wrapText="1"/>
      <protection/>
    </xf>
    <xf numFmtId="0" fontId="16" fillId="0" borderId="29" xfId="52" applyFont="1" applyBorder="1" applyAlignment="1">
      <alignment horizontal="center" vertical="center" wrapText="1"/>
      <protection/>
    </xf>
    <xf numFmtId="0" fontId="16" fillId="0" borderId="25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27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28" xfId="52" applyFont="1" applyBorder="1" applyAlignment="1">
      <alignment horizontal="center" vertical="center" wrapText="1"/>
      <protection/>
    </xf>
    <xf numFmtId="168" fontId="17" fillId="0" borderId="56" xfId="49" applyFont="1" applyBorder="1" applyAlignment="1">
      <alignment horizontal="center" vertical="center" wrapText="1"/>
    </xf>
    <xf numFmtId="168" fontId="17" fillId="0" borderId="57" xfId="49" applyFont="1" applyBorder="1" applyAlignment="1">
      <alignment horizontal="center" vertical="center" wrapText="1"/>
    </xf>
    <xf numFmtId="168" fontId="17" fillId="0" borderId="59" xfId="49" applyFont="1" applyBorder="1" applyAlignment="1">
      <alignment horizontal="center" vertical="center" wrapText="1"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3 2" xfId="54"/>
    <cellStyle name="Nota" xfId="55"/>
    <cellStyle name="Percent" xfId="56"/>
    <cellStyle name="Porcentagem 2" xfId="57"/>
    <cellStyle name="Porcentagem 3" xfId="58"/>
    <cellStyle name="Porcentagem 4" xfId="59"/>
    <cellStyle name="Saíd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1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3" xfId="77"/>
    <cellStyle name="Vírgul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86"/>
  <sheetViews>
    <sheetView tabSelected="1" view="pageBreakPreview" zoomScaleSheetLayoutView="100" zoomScalePageLayoutView="0" workbookViewId="0" topLeftCell="A1">
      <pane xSplit="9" ySplit="8" topLeftCell="J81" activePane="bottomRight" state="frozen"/>
      <selection pane="topLeft" activeCell="A1" sqref="A1"/>
      <selection pane="topRight" activeCell="J1" sqref="J1"/>
      <selection pane="bottomLeft" activeCell="A9" sqref="A9"/>
      <selection pane="bottomRight" activeCell="D7" sqref="D7:D8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8" bestFit="1" customWidth="1"/>
    <col min="4" max="4" width="10.7109375" style="18" customWidth="1"/>
    <col min="5" max="5" width="51.28125" style="2" customWidth="1"/>
    <col min="6" max="6" width="4.421875" style="1" bestFit="1" customWidth="1"/>
    <col min="7" max="7" width="7.57421875" style="13" bestFit="1" customWidth="1"/>
    <col min="8" max="8" width="13.28125" style="23" bestFit="1" customWidth="1"/>
    <col min="9" max="9" width="14.00390625" style="23" customWidth="1"/>
    <col min="11" max="19" width="9.140625" style="168" customWidth="1"/>
  </cols>
  <sheetData>
    <row r="1" spans="3:19" s="29" customFormat="1" ht="30.75" customHeight="1">
      <c r="C1" s="218"/>
      <c r="D1" s="219"/>
      <c r="E1" s="232" t="s">
        <v>17</v>
      </c>
      <c r="F1" s="24"/>
      <c r="G1" s="25"/>
      <c r="H1" s="25"/>
      <c r="I1" s="26"/>
      <c r="J1" s="27"/>
      <c r="K1" s="167"/>
      <c r="L1" s="38"/>
      <c r="M1" s="38"/>
      <c r="N1" s="38"/>
      <c r="O1" s="38"/>
      <c r="P1" s="38"/>
      <c r="Q1" s="38"/>
      <c r="R1" s="38"/>
      <c r="S1" s="38"/>
    </row>
    <row r="2" spans="3:19" s="29" customFormat="1" ht="16.5" customHeight="1">
      <c r="C2" s="220"/>
      <c r="D2" s="221"/>
      <c r="E2" s="233"/>
      <c r="F2" s="30"/>
      <c r="G2" s="31"/>
      <c r="H2" s="32"/>
      <c r="I2" s="33"/>
      <c r="J2" s="27"/>
      <c r="K2" s="38"/>
      <c r="L2" s="38"/>
      <c r="M2" s="38"/>
      <c r="N2" s="38"/>
      <c r="O2" s="38"/>
      <c r="P2" s="38"/>
      <c r="Q2" s="38"/>
      <c r="R2" s="38"/>
      <c r="S2" s="38"/>
    </row>
    <row r="3" spans="3:19" s="29" customFormat="1" ht="15" customHeight="1" thickBot="1">
      <c r="C3" s="222"/>
      <c r="D3" s="223"/>
      <c r="E3" s="234"/>
      <c r="F3" s="235" t="s">
        <v>18</v>
      </c>
      <c r="G3" s="236"/>
      <c r="H3" s="236"/>
      <c r="I3" s="237"/>
      <c r="J3" s="27"/>
      <c r="K3" s="38"/>
      <c r="L3" s="38"/>
      <c r="M3" s="38"/>
      <c r="N3" s="38"/>
      <c r="O3" s="38"/>
      <c r="P3" s="38"/>
      <c r="Q3" s="38"/>
      <c r="R3" s="38"/>
      <c r="S3" s="38"/>
    </row>
    <row r="4" spans="3:19" s="29" customFormat="1" ht="15.75">
      <c r="C4" s="224" t="s">
        <v>34</v>
      </c>
      <c r="D4" s="225"/>
      <c r="E4" s="226"/>
      <c r="F4" s="41"/>
      <c r="G4" s="238" t="s">
        <v>20</v>
      </c>
      <c r="H4" s="238"/>
      <c r="I4" s="42" t="s">
        <v>81</v>
      </c>
      <c r="J4" s="27"/>
      <c r="K4" s="38"/>
      <c r="L4" s="38"/>
      <c r="M4" s="38"/>
      <c r="N4" s="38"/>
      <c r="O4" s="38"/>
      <c r="P4" s="38"/>
      <c r="Q4" s="38"/>
      <c r="R4" s="38"/>
      <c r="S4" s="38"/>
    </row>
    <row r="5" spans="3:19" s="29" customFormat="1" ht="12.75" customHeight="1">
      <c r="C5" s="69" t="s">
        <v>22</v>
      </c>
      <c r="D5" s="227" t="s">
        <v>232</v>
      </c>
      <c r="E5" s="228"/>
      <c r="F5" s="34"/>
      <c r="G5" s="239" t="s">
        <v>23</v>
      </c>
      <c r="H5" s="239"/>
      <c r="I5" s="35">
        <v>0.9226</v>
      </c>
      <c r="J5" s="36"/>
      <c r="K5" s="37"/>
      <c r="L5" s="37"/>
      <c r="M5" s="38"/>
      <c r="N5" s="38"/>
      <c r="O5" s="38"/>
      <c r="P5" s="38"/>
      <c r="Q5" s="38"/>
      <c r="R5" s="38"/>
      <c r="S5" s="38"/>
    </row>
    <row r="6" spans="3:19" s="29" customFormat="1" ht="13.5" customHeight="1" thickBot="1">
      <c r="C6" s="70"/>
      <c r="D6" s="229" t="s">
        <v>33</v>
      </c>
      <c r="E6" s="230"/>
      <c r="F6" s="43"/>
      <c r="G6" s="192" t="s">
        <v>24</v>
      </c>
      <c r="H6" s="192"/>
      <c r="I6" s="44">
        <v>0.309</v>
      </c>
      <c r="J6" s="39"/>
      <c r="K6" s="40"/>
      <c r="L6" s="40"/>
      <c r="M6" s="38"/>
      <c r="N6" s="38"/>
      <c r="O6" s="38"/>
      <c r="P6" s="38"/>
      <c r="Q6" s="38"/>
      <c r="R6" s="38"/>
      <c r="S6" s="38"/>
    </row>
    <row r="7" spans="3:19" s="29" customFormat="1" ht="11.25" customHeight="1">
      <c r="C7" s="206" t="s">
        <v>25</v>
      </c>
      <c r="D7" s="208" t="s">
        <v>26</v>
      </c>
      <c r="E7" s="210" t="s">
        <v>27</v>
      </c>
      <c r="F7" s="212" t="s">
        <v>28</v>
      </c>
      <c r="G7" s="214" t="s">
        <v>29</v>
      </c>
      <c r="H7" s="216" t="s">
        <v>30</v>
      </c>
      <c r="I7" s="217"/>
      <c r="J7" s="27"/>
      <c r="K7" s="38"/>
      <c r="L7" s="38"/>
      <c r="M7" s="38"/>
      <c r="N7" s="38"/>
      <c r="O7" s="38"/>
      <c r="P7" s="38"/>
      <c r="Q7" s="38"/>
      <c r="R7" s="38"/>
      <c r="S7" s="38"/>
    </row>
    <row r="8" spans="3:19" s="29" customFormat="1" ht="13.5" customHeight="1" thickBot="1">
      <c r="C8" s="207"/>
      <c r="D8" s="209"/>
      <c r="E8" s="211"/>
      <c r="F8" s="213"/>
      <c r="G8" s="215"/>
      <c r="H8" s="45" t="s">
        <v>31</v>
      </c>
      <c r="I8" s="46" t="s">
        <v>32</v>
      </c>
      <c r="J8" s="27"/>
      <c r="K8" s="38"/>
      <c r="L8" s="38"/>
      <c r="M8" s="38"/>
      <c r="N8" s="38"/>
      <c r="O8" s="38"/>
      <c r="P8" s="38"/>
      <c r="Q8" s="38"/>
      <c r="R8" s="38"/>
      <c r="S8" s="38"/>
    </row>
    <row r="9" spans="3:9" ht="9.75" customHeight="1" thickBot="1">
      <c r="C9" s="62"/>
      <c r="D9" s="63"/>
      <c r="E9" s="64"/>
      <c r="F9" s="47"/>
      <c r="G9" s="48"/>
      <c r="H9" s="65"/>
      <c r="I9" s="66"/>
    </row>
    <row r="10" spans="3:19" s="5" customFormat="1" ht="15.75" thickBot="1">
      <c r="C10" s="202" t="s">
        <v>15</v>
      </c>
      <c r="D10" s="231"/>
      <c r="E10" s="179" t="s">
        <v>35</v>
      </c>
      <c r="F10" s="180"/>
      <c r="G10" s="180"/>
      <c r="H10" s="180"/>
      <c r="I10" s="181"/>
      <c r="K10" s="169"/>
      <c r="L10" s="169"/>
      <c r="M10" s="169"/>
      <c r="N10" s="169"/>
      <c r="O10" s="169"/>
      <c r="P10" s="169"/>
      <c r="Q10" s="169"/>
      <c r="R10" s="169"/>
      <c r="S10" s="169"/>
    </row>
    <row r="11" spans="3:9" s="5" customFormat="1" ht="30">
      <c r="C11" s="17" t="s">
        <v>16</v>
      </c>
      <c r="D11" s="20" t="s">
        <v>203</v>
      </c>
      <c r="E11" s="14" t="s">
        <v>196</v>
      </c>
      <c r="F11" s="7" t="s">
        <v>36</v>
      </c>
      <c r="G11" s="12">
        <v>5</v>
      </c>
      <c r="H11" s="50">
        <f>(1+$I$6)*4.78</f>
        <v>6.26</v>
      </c>
      <c r="I11" s="51">
        <f aca="true" t="shared" si="0" ref="I11:I18">H11*G11</f>
        <v>31.3</v>
      </c>
    </row>
    <row r="12" spans="3:9" s="5" customFormat="1" ht="30">
      <c r="C12" s="16" t="s">
        <v>183</v>
      </c>
      <c r="D12" s="19" t="s">
        <v>197</v>
      </c>
      <c r="E12" s="6" t="s">
        <v>198</v>
      </c>
      <c r="F12" s="8" t="s">
        <v>36</v>
      </c>
      <c r="G12" s="9">
        <v>5</v>
      </c>
      <c r="H12" s="49">
        <f>(1+$I$6)*9.55</f>
        <v>12.5</v>
      </c>
      <c r="I12" s="52">
        <f t="shared" si="0"/>
        <v>62.5</v>
      </c>
    </row>
    <row r="13" spans="3:19" s="5" customFormat="1" ht="30">
      <c r="C13" s="16" t="s">
        <v>209</v>
      </c>
      <c r="D13" s="19" t="s">
        <v>204</v>
      </c>
      <c r="E13" s="6" t="s">
        <v>199</v>
      </c>
      <c r="F13" s="8" t="s">
        <v>36</v>
      </c>
      <c r="G13" s="9">
        <v>5</v>
      </c>
      <c r="H13" s="49">
        <f>(1+$I$6)*14.33</f>
        <v>18.76</v>
      </c>
      <c r="I13" s="52">
        <f t="shared" si="0"/>
        <v>93.8</v>
      </c>
      <c r="K13" s="169"/>
      <c r="L13" s="169"/>
      <c r="M13" s="169"/>
      <c r="N13" s="169"/>
      <c r="O13" s="169"/>
      <c r="P13" s="169"/>
      <c r="Q13" s="169"/>
      <c r="R13" s="169"/>
      <c r="S13" s="169"/>
    </row>
    <row r="14" spans="3:19" s="5" customFormat="1" ht="30">
      <c r="C14" s="16" t="s">
        <v>210</v>
      </c>
      <c r="D14" s="19" t="s">
        <v>39</v>
      </c>
      <c r="E14" s="6" t="s">
        <v>200</v>
      </c>
      <c r="F14" s="8" t="s">
        <v>36</v>
      </c>
      <c r="G14" s="9">
        <v>1</v>
      </c>
      <c r="H14" s="49">
        <f>(1+$I$6)*38.19</f>
        <v>49.99</v>
      </c>
      <c r="I14" s="52">
        <f t="shared" si="0"/>
        <v>49.99</v>
      </c>
      <c r="K14" s="169"/>
      <c r="L14" s="169"/>
      <c r="M14" s="169"/>
      <c r="N14" s="169"/>
      <c r="O14" s="169"/>
      <c r="P14" s="169"/>
      <c r="Q14" s="169"/>
      <c r="R14" s="169"/>
      <c r="S14" s="169"/>
    </row>
    <row r="15" spans="3:19" s="5" customFormat="1" ht="30">
      <c r="C15" s="16" t="s">
        <v>211</v>
      </c>
      <c r="D15" s="19" t="s">
        <v>205</v>
      </c>
      <c r="E15" s="6" t="s">
        <v>201</v>
      </c>
      <c r="F15" s="8" t="s">
        <v>36</v>
      </c>
      <c r="G15" s="9">
        <v>5</v>
      </c>
      <c r="H15" s="49">
        <f>(1+$I$6)*4.78</f>
        <v>6.26</v>
      </c>
      <c r="I15" s="52">
        <f t="shared" si="0"/>
        <v>31.3</v>
      </c>
      <c r="K15" s="169"/>
      <c r="L15" s="169"/>
      <c r="M15" s="169"/>
      <c r="N15" s="169"/>
      <c r="O15" s="169"/>
      <c r="P15" s="169"/>
      <c r="Q15" s="169"/>
      <c r="R15" s="169"/>
      <c r="S15" s="169"/>
    </row>
    <row r="16" spans="3:19" s="5" customFormat="1" ht="30">
      <c r="C16" s="16" t="s">
        <v>212</v>
      </c>
      <c r="D16" s="19" t="s">
        <v>206</v>
      </c>
      <c r="E16" s="6" t="s">
        <v>202</v>
      </c>
      <c r="F16" s="8" t="s">
        <v>36</v>
      </c>
      <c r="G16" s="9">
        <v>1</v>
      </c>
      <c r="H16" s="49">
        <f>(1+$I$6)*19.1</f>
        <v>25</v>
      </c>
      <c r="I16" s="52">
        <f t="shared" si="0"/>
        <v>25</v>
      </c>
      <c r="K16" s="169"/>
      <c r="L16" s="169"/>
      <c r="M16" s="169"/>
      <c r="N16" s="169"/>
      <c r="O16" s="169"/>
      <c r="P16" s="169"/>
      <c r="Q16" s="169"/>
      <c r="R16" s="169"/>
      <c r="S16" s="169"/>
    </row>
    <row r="17" spans="3:19" s="5" customFormat="1" ht="30">
      <c r="C17" s="16" t="s">
        <v>213</v>
      </c>
      <c r="D17" s="19" t="s">
        <v>184</v>
      </c>
      <c r="E17" s="6" t="s">
        <v>207</v>
      </c>
      <c r="F17" s="8" t="s">
        <v>36</v>
      </c>
      <c r="G17" s="9">
        <v>1</v>
      </c>
      <c r="H17" s="49">
        <f>(1+$I$6)*19.1</f>
        <v>25</v>
      </c>
      <c r="I17" s="52">
        <f t="shared" si="0"/>
        <v>25</v>
      </c>
      <c r="K17" s="169"/>
      <c r="L17" s="169"/>
      <c r="M17" s="169"/>
      <c r="N17" s="169"/>
      <c r="O17" s="169"/>
      <c r="P17" s="169"/>
      <c r="Q17" s="169"/>
      <c r="R17" s="169"/>
      <c r="S17" s="169"/>
    </row>
    <row r="18" spans="3:19" s="5" customFormat="1" ht="30.75" thickBot="1">
      <c r="C18" s="165" t="s">
        <v>214</v>
      </c>
      <c r="D18" s="22" t="s">
        <v>195</v>
      </c>
      <c r="E18" s="15" t="s">
        <v>208</v>
      </c>
      <c r="F18" s="3" t="s">
        <v>36</v>
      </c>
      <c r="G18" s="11">
        <v>5</v>
      </c>
      <c r="H18" s="55">
        <f>(1+$I$6)*76.38</f>
        <v>99.98</v>
      </c>
      <c r="I18" s="67">
        <f t="shared" si="0"/>
        <v>499.9</v>
      </c>
      <c r="K18" s="169"/>
      <c r="L18" s="169"/>
      <c r="M18" s="169"/>
      <c r="N18" s="169"/>
      <c r="O18" s="169"/>
      <c r="P18" s="169"/>
      <c r="Q18" s="169"/>
      <c r="R18" s="169"/>
      <c r="S18" s="169"/>
    </row>
    <row r="19" spans="3:19" s="29" customFormat="1" ht="15" customHeight="1">
      <c r="C19" s="195" t="s">
        <v>174</v>
      </c>
      <c r="D19" s="196"/>
      <c r="E19" s="196"/>
      <c r="F19" s="196"/>
      <c r="G19" s="197"/>
      <c r="H19" s="193">
        <f>SUM(I11:I18)</f>
        <v>818.79</v>
      </c>
      <c r="I19" s="194"/>
      <c r="J19" s="28"/>
      <c r="K19" s="38"/>
      <c r="L19" s="38"/>
      <c r="M19" s="38"/>
      <c r="N19" s="38"/>
      <c r="O19" s="38"/>
      <c r="P19" s="38"/>
      <c r="Q19" s="38"/>
      <c r="R19" s="38"/>
      <c r="S19" s="38"/>
    </row>
    <row r="20" spans="3:19" s="29" customFormat="1" ht="15.75" customHeight="1" thickBot="1">
      <c r="C20" s="187" t="s">
        <v>175</v>
      </c>
      <c r="D20" s="188"/>
      <c r="E20" s="188"/>
      <c r="F20" s="188"/>
      <c r="G20" s="189"/>
      <c r="H20" s="190">
        <f>H19/H$86</f>
        <v>0.0041</v>
      </c>
      <c r="I20" s="191"/>
      <c r="J20" s="28"/>
      <c r="K20" s="38"/>
      <c r="L20" s="38"/>
      <c r="M20" s="38"/>
      <c r="N20" s="38"/>
      <c r="O20" s="38"/>
      <c r="P20" s="38"/>
      <c r="Q20" s="38"/>
      <c r="R20" s="38"/>
      <c r="S20" s="38"/>
    </row>
    <row r="21" spans="3:19" s="29" customFormat="1" ht="15.75" thickBot="1">
      <c r="C21" s="160"/>
      <c r="D21" s="161"/>
      <c r="E21" s="161"/>
      <c r="F21" s="161"/>
      <c r="G21" s="162"/>
      <c r="H21" s="163"/>
      <c r="I21" s="164"/>
      <c r="J21" s="28"/>
      <c r="K21" s="38"/>
      <c r="L21" s="38"/>
      <c r="M21" s="38"/>
      <c r="N21" s="38"/>
      <c r="O21" s="38"/>
      <c r="P21" s="38"/>
      <c r="Q21" s="38"/>
      <c r="R21" s="38"/>
      <c r="S21" s="38"/>
    </row>
    <row r="22" spans="3:19" s="5" customFormat="1" ht="15.75" thickBot="1">
      <c r="C22" s="204" t="s">
        <v>38</v>
      </c>
      <c r="D22" s="205"/>
      <c r="E22" s="199" t="s">
        <v>13</v>
      </c>
      <c r="F22" s="200"/>
      <c r="G22" s="200"/>
      <c r="H22" s="200"/>
      <c r="I22" s="201"/>
      <c r="K22" s="169"/>
      <c r="L22" s="169"/>
      <c r="M22" s="169"/>
      <c r="N22" s="169"/>
      <c r="O22" s="169"/>
      <c r="P22" s="169"/>
      <c r="Q22" s="169"/>
      <c r="R22" s="169"/>
      <c r="S22" s="169"/>
    </row>
    <row r="23" spans="3:9" ht="30">
      <c r="C23" s="56" t="s">
        <v>40</v>
      </c>
      <c r="D23" s="20" t="s">
        <v>216</v>
      </c>
      <c r="E23" s="61" t="s">
        <v>215</v>
      </c>
      <c r="F23" s="58" t="s">
        <v>36</v>
      </c>
      <c r="G23" s="156">
        <v>13</v>
      </c>
      <c r="H23" s="50">
        <f>(1+$I$6)*912.05</f>
        <v>1193.87</v>
      </c>
      <c r="I23" s="158">
        <f>H23*G23</f>
        <v>15520.31</v>
      </c>
    </row>
    <row r="24" spans="3:9" ht="30">
      <c r="C24" s="56" t="s">
        <v>40</v>
      </c>
      <c r="D24" s="155" t="s">
        <v>43</v>
      </c>
      <c r="E24" s="61" t="s">
        <v>45</v>
      </c>
      <c r="F24" s="58" t="s">
        <v>36</v>
      </c>
      <c r="G24" s="156">
        <v>12</v>
      </c>
      <c r="H24" s="157">
        <f>(1+$I$6)*959.99</f>
        <v>1256.63</v>
      </c>
      <c r="I24" s="158">
        <f>H24*G24</f>
        <v>15079.56</v>
      </c>
    </row>
    <row r="25" spans="3:9" ht="30.75" thickBot="1">
      <c r="C25" s="16" t="s">
        <v>41</v>
      </c>
      <c r="D25" s="19" t="s">
        <v>44</v>
      </c>
      <c r="E25" s="6" t="s">
        <v>46</v>
      </c>
      <c r="F25" s="8" t="s">
        <v>36</v>
      </c>
      <c r="G25" s="9">
        <v>7</v>
      </c>
      <c r="H25" s="49">
        <f>(1+$I$6)*1309.21</f>
        <v>1713.76</v>
      </c>
      <c r="I25" s="52">
        <f aca="true" t="shared" si="1" ref="I25:I49">H25*G25</f>
        <v>11996.32</v>
      </c>
    </row>
    <row r="26" spans="3:9" ht="30.75" thickBot="1">
      <c r="C26" s="16" t="s">
        <v>42</v>
      </c>
      <c r="D26" s="134" t="str">
        <f>'COMP. 0001'!C9</f>
        <v>COMP. 0001</v>
      </c>
      <c r="E26" s="6" t="str">
        <f>'COMP. 0001'!B9</f>
        <v>Estaiamento em contraposte</v>
      </c>
      <c r="F26" s="19" t="str">
        <f>'COMP. 0001'!D9</f>
        <v>und</v>
      </c>
      <c r="G26" s="9">
        <v>1</v>
      </c>
      <c r="H26" s="49">
        <f>'COMP. 0001'!D40</f>
        <v>242.68</v>
      </c>
      <c r="I26" s="52">
        <f t="shared" si="1"/>
        <v>242.68</v>
      </c>
    </row>
    <row r="27" spans="3:19" s="29" customFormat="1" ht="15" customHeight="1">
      <c r="C27" s="182" t="s">
        <v>176</v>
      </c>
      <c r="D27" s="183"/>
      <c r="E27" s="183"/>
      <c r="F27" s="183"/>
      <c r="G27" s="184"/>
      <c r="H27" s="185">
        <f>SUM(I23:I26)</f>
        <v>42838.87</v>
      </c>
      <c r="I27" s="186"/>
      <c r="J27" s="28"/>
      <c r="K27" s="38"/>
      <c r="L27" s="38"/>
      <c r="M27" s="38"/>
      <c r="N27" s="38"/>
      <c r="O27" s="38"/>
      <c r="P27" s="38"/>
      <c r="Q27" s="38"/>
      <c r="R27" s="38"/>
      <c r="S27" s="38"/>
    </row>
    <row r="28" spans="3:19" s="29" customFormat="1" ht="15.75" customHeight="1" thickBot="1">
      <c r="C28" s="187" t="s">
        <v>175</v>
      </c>
      <c r="D28" s="188"/>
      <c r="E28" s="188"/>
      <c r="F28" s="188"/>
      <c r="G28" s="189"/>
      <c r="H28" s="190">
        <f>H27/H$86</f>
        <v>0.2141</v>
      </c>
      <c r="I28" s="191"/>
      <c r="J28" s="28"/>
      <c r="K28" s="38"/>
      <c r="L28" s="38"/>
      <c r="M28" s="38"/>
      <c r="N28" s="38"/>
      <c r="O28" s="38"/>
      <c r="P28" s="38"/>
      <c r="Q28" s="38"/>
      <c r="R28" s="38"/>
      <c r="S28" s="38"/>
    </row>
    <row r="29" spans="3:19" s="29" customFormat="1" ht="15.75" thickBot="1">
      <c r="C29" s="160"/>
      <c r="D29" s="161"/>
      <c r="E29" s="161"/>
      <c r="F29" s="161"/>
      <c r="G29" s="162"/>
      <c r="H29" s="163"/>
      <c r="I29" s="164"/>
      <c r="J29" s="28"/>
      <c r="K29" s="38"/>
      <c r="L29" s="38"/>
      <c r="M29" s="38"/>
      <c r="N29" s="38"/>
      <c r="O29" s="38"/>
      <c r="P29" s="38"/>
      <c r="Q29" s="38"/>
      <c r="R29" s="38"/>
      <c r="S29" s="38"/>
    </row>
    <row r="30" spans="3:9" ht="15.75" thickBot="1">
      <c r="C30" s="204" t="s">
        <v>110</v>
      </c>
      <c r="D30" s="201"/>
      <c r="E30" s="199" t="s">
        <v>10</v>
      </c>
      <c r="F30" s="200"/>
      <c r="G30" s="200"/>
      <c r="H30" s="200"/>
      <c r="I30" s="201"/>
    </row>
    <row r="31" spans="3:9" ht="30">
      <c r="C31" s="152" t="s">
        <v>111</v>
      </c>
      <c r="D31" s="20" t="s">
        <v>104</v>
      </c>
      <c r="E31" s="21" t="s">
        <v>9</v>
      </c>
      <c r="F31" s="7" t="s">
        <v>36</v>
      </c>
      <c r="G31" s="12">
        <v>3</v>
      </c>
      <c r="H31" s="50">
        <f>(1+$I$6)*171</f>
        <v>223.84</v>
      </c>
      <c r="I31" s="51">
        <f t="shared" si="1"/>
        <v>671.52</v>
      </c>
    </row>
    <row r="32" spans="3:9" ht="30">
      <c r="C32" s="153" t="s">
        <v>112</v>
      </c>
      <c r="D32" s="19" t="s">
        <v>105</v>
      </c>
      <c r="E32" s="6" t="s">
        <v>7</v>
      </c>
      <c r="F32" s="8" t="s">
        <v>36</v>
      </c>
      <c r="G32" s="9">
        <v>15</v>
      </c>
      <c r="H32" s="49">
        <f>(1+$I$6)*9.29</f>
        <v>12.16</v>
      </c>
      <c r="I32" s="52">
        <f t="shared" si="1"/>
        <v>182.4</v>
      </c>
    </row>
    <row r="33" spans="3:9" ht="30">
      <c r="C33" s="153" t="s">
        <v>113</v>
      </c>
      <c r="D33" s="19" t="s">
        <v>106</v>
      </c>
      <c r="E33" s="6" t="s">
        <v>116</v>
      </c>
      <c r="F33" s="8" t="s">
        <v>3</v>
      </c>
      <c r="G33" s="9">
        <v>164</v>
      </c>
      <c r="H33" s="49">
        <f>(1+$I$6)*6.55</f>
        <v>8.57</v>
      </c>
      <c r="I33" s="52">
        <f t="shared" si="1"/>
        <v>1405.48</v>
      </c>
    </row>
    <row r="34" spans="3:9" ht="30">
      <c r="C34" s="153" t="s">
        <v>114</v>
      </c>
      <c r="D34" s="19" t="s">
        <v>109</v>
      </c>
      <c r="E34" s="6" t="s">
        <v>107</v>
      </c>
      <c r="F34" s="8" t="s">
        <v>36</v>
      </c>
      <c r="G34" s="9">
        <v>2</v>
      </c>
      <c r="H34" s="49">
        <f>(1+$I$6)*313.48</f>
        <v>410.35</v>
      </c>
      <c r="I34" s="52">
        <f t="shared" si="1"/>
        <v>820.7</v>
      </c>
    </row>
    <row r="35" spans="3:24" ht="30.75" thickBot="1">
      <c r="C35" s="154" t="s">
        <v>115</v>
      </c>
      <c r="D35" s="22" t="s">
        <v>108</v>
      </c>
      <c r="E35" s="15" t="s">
        <v>188</v>
      </c>
      <c r="F35" s="3" t="s">
        <v>36</v>
      </c>
      <c r="G35" s="11">
        <v>16</v>
      </c>
      <c r="H35" s="55">
        <f>(1+$I$6)*109.01</f>
        <v>142.69</v>
      </c>
      <c r="I35" s="67">
        <f t="shared" si="1"/>
        <v>2283.04</v>
      </c>
      <c r="J35" s="166"/>
      <c r="K35" s="170"/>
      <c r="L35" s="170"/>
      <c r="M35" s="170"/>
      <c r="N35" s="170"/>
      <c r="O35" s="170"/>
      <c r="P35" s="170"/>
      <c r="Q35" s="170"/>
      <c r="R35" s="170"/>
      <c r="S35" s="170"/>
      <c r="T35" s="59"/>
      <c r="U35" s="8"/>
      <c r="V35" s="8"/>
      <c r="W35" s="8"/>
      <c r="X35" s="10">
        <f>SUM(G35:W35)</f>
        <v>2441.73</v>
      </c>
    </row>
    <row r="36" spans="3:19" s="29" customFormat="1" ht="15" customHeight="1">
      <c r="C36" s="182" t="s">
        <v>177</v>
      </c>
      <c r="D36" s="183"/>
      <c r="E36" s="183"/>
      <c r="F36" s="183"/>
      <c r="G36" s="184"/>
      <c r="H36" s="185">
        <f>SUM(I31:I35)</f>
        <v>5363.14</v>
      </c>
      <c r="I36" s="186"/>
      <c r="J36" s="28"/>
      <c r="K36" s="38"/>
      <c r="L36" s="38"/>
      <c r="M36" s="38"/>
      <c r="N36" s="38"/>
      <c r="O36" s="38"/>
      <c r="P36" s="38"/>
      <c r="Q36" s="38"/>
      <c r="R36" s="38"/>
      <c r="S36" s="38"/>
    </row>
    <row r="37" spans="3:19" s="29" customFormat="1" ht="15.75" customHeight="1" thickBot="1">
      <c r="C37" s="187" t="s">
        <v>175</v>
      </c>
      <c r="D37" s="188"/>
      <c r="E37" s="188"/>
      <c r="F37" s="188"/>
      <c r="G37" s="189"/>
      <c r="H37" s="190">
        <f>H36/H$86</f>
        <v>0.0268</v>
      </c>
      <c r="I37" s="191"/>
      <c r="J37" s="28"/>
      <c r="K37" s="38"/>
      <c r="L37" s="38"/>
      <c r="M37" s="38"/>
      <c r="N37" s="38"/>
      <c r="O37" s="38"/>
      <c r="P37" s="38"/>
      <c r="Q37" s="38"/>
      <c r="R37" s="38"/>
      <c r="S37" s="38"/>
    </row>
    <row r="38" spans="3:19" s="29" customFormat="1" ht="15.75" thickBot="1">
      <c r="C38" s="160"/>
      <c r="D38" s="161"/>
      <c r="E38" s="161"/>
      <c r="F38" s="161"/>
      <c r="G38" s="162"/>
      <c r="H38" s="163"/>
      <c r="I38" s="164"/>
      <c r="J38" s="28"/>
      <c r="K38" s="38"/>
      <c r="L38" s="38"/>
      <c r="M38" s="38"/>
      <c r="N38" s="38"/>
      <c r="O38" s="38"/>
      <c r="P38" s="38"/>
      <c r="Q38" s="38"/>
      <c r="R38" s="38"/>
      <c r="S38" s="38"/>
    </row>
    <row r="39" spans="3:24" ht="15.75" thickBot="1">
      <c r="C39" s="202" t="s">
        <v>129</v>
      </c>
      <c r="D39" s="203"/>
      <c r="E39" s="199" t="s">
        <v>37</v>
      </c>
      <c r="F39" s="200"/>
      <c r="G39" s="200"/>
      <c r="H39" s="200"/>
      <c r="I39" s="201"/>
      <c r="J39" s="166"/>
      <c r="K39" s="170"/>
      <c r="L39" s="170"/>
      <c r="M39" s="170"/>
      <c r="N39" s="170"/>
      <c r="O39" s="170"/>
      <c r="P39" s="170"/>
      <c r="Q39" s="170"/>
      <c r="R39" s="170"/>
      <c r="S39" s="170"/>
      <c r="T39" s="59"/>
      <c r="U39" s="8"/>
      <c r="V39" s="8"/>
      <c r="W39" s="8"/>
      <c r="X39" s="10">
        <f>SUM(G39:W39)</f>
        <v>0</v>
      </c>
    </row>
    <row r="40" spans="3:9" ht="30">
      <c r="C40" s="152" t="s">
        <v>130</v>
      </c>
      <c r="D40" s="20" t="s">
        <v>117</v>
      </c>
      <c r="E40" s="61" t="s">
        <v>190</v>
      </c>
      <c r="F40" s="58" t="s">
        <v>36</v>
      </c>
      <c r="G40" s="156">
        <v>9</v>
      </c>
      <c r="H40" s="60">
        <f>(1+$I$6)*972.87</f>
        <v>1273.49</v>
      </c>
      <c r="I40" s="158">
        <f t="shared" si="1"/>
        <v>11461.41</v>
      </c>
    </row>
    <row r="41" spans="3:9" ht="30">
      <c r="C41" s="16" t="s">
        <v>131</v>
      </c>
      <c r="D41" s="19" t="s">
        <v>118</v>
      </c>
      <c r="E41" s="4" t="s">
        <v>191</v>
      </c>
      <c r="F41" s="8" t="s">
        <v>36</v>
      </c>
      <c r="G41" s="9">
        <v>9</v>
      </c>
      <c r="H41" s="49">
        <f>(1+$I$6)*13.8</f>
        <v>18.06</v>
      </c>
      <c r="I41" s="52">
        <f t="shared" si="1"/>
        <v>162.54</v>
      </c>
    </row>
    <row r="42" spans="3:9" ht="90">
      <c r="C42" s="16" t="s">
        <v>132</v>
      </c>
      <c r="D42" s="19" t="s">
        <v>119</v>
      </c>
      <c r="E42" s="6" t="s">
        <v>189</v>
      </c>
      <c r="F42" s="8" t="s">
        <v>36</v>
      </c>
      <c r="G42" s="9">
        <v>1</v>
      </c>
      <c r="H42" s="49">
        <f>(1+$I$6)*152.77</f>
        <v>199.98</v>
      </c>
      <c r="I42" s="52">
        <f t="shared" si="1"/>
        <v>199.98</v>
      </c>
    </row>
    <row r="43" spans="3:9" ht="30">
      <c r="C43" s="16" t="s">
        <v>133</v>
      </c>
      <c r="D43" s="19" t="s">
        <v>121</v>
      </c>
      <c r="E43" s="6" t="s">
        <v>192</v>
      </c>
      <c r="F43" s="8" t="s">
        <v>36</v>
      </c>
      <c r="G43" s="9">
        <v>1</v>
      </c>
      <c r="H43" s="49">
        <f>(1+$I$6)*63</f>
        <v>82.47</v>
      </c>
      <c r="I43" s="52">
        <f t="shared" si="1"/>
        <v>82.47</v>
      </c>
    </row>
    <row r="44" spans="3:9" ht="30.75" thickBot="1">
      <c r="C44" s="16" t="s">
        <v>134</v>
      </c>
      <c r="D44" s="22" t="s">
        <v>120</v>
      </c>
      <c r="E44" s="15" t="s">
        <v>122</v>
      </c>
      <c r="F44" s="3" t="s">
        <v>36</v>
      </c>
      <c r="G44" s="11">
        <v>1</v>
      </c>
      <c r="H44" s="55">
        <f>(1+$I$6)*9207</f>
        <v>12051.96</v>
      </c>
      <c r="I44" s="52">
        <f t="shared" si="1"/>
        <v>12051.96</v>
      </c>
    </row>
    <row r="45" spans="3:19" s="29" customFormat="1" ht="15" customHeight="1">
      <c r="C45" s="182" t="s">
        <v>178</v>
      </c>
      <c r="D45" s="183"/>
      <c r="E45" s="183"/>
      <c r="F45" s="183"/>
      <c r="G45" s="184"/>
      <c r="H45" s="185">
        <f>SUM(I40:I44)</f>
        <v>23958.36</v>
      </c>
      <c r="I45" s="186"/>
      <c r="J45" s="28"/>
      <c r="K45" s="38"/>
      <c r="L45" s="38"/>
      <c r="M45" s="38"/>
      <c r="N45" s="38"/>
      <c r="O45" s="38"/>
      <c r="P45" s="38"/>
      <c r="Q45" s="38"/>
      <c r="R45" s="38"/>
      <c r="S45" s="38"/>
    </row>
    <row r="46" spans="3:19" s="29" customFormat="1" ht="15.75" customHeight="1" thickBot="1">
      <c r="C46" s="187" t="s">
        <v>175</v>
      </c>
      <c r="D46" s="188"/>
      <c r="E46" s="188"/>
      <c r="F46" s="188"/>
      <c r="G46" s="189"/>
      <c r="H46" s="190">
        <f>H45/H$86</f>
        <v>0.1197</v>
      </c>
      <c r="I46" s="191"/>
      <c r="J46" s="28"/>
      <c r="K46" s="38"/>
      <c r="L46" s="38"/>
      <c r="M46" s="38"/>
      <c r="N46" s="38"/>
      <c r="O46" s="38"/>
      <c r="P46" s="38"/>
      <c r="Q46" s="38"/>
      <c r="R46" s="38"/>
      <c r="S46" s="38"/>
    </row>
    <row r="47" spans="3:19" s="29" customFormat="1" ht="15.75" thickBot="1">
      <c r="C47" s="160"/>
      <c r="D47" s="161"/>
      <c r="E47" s="161"/>
      <c r="F47" s="161"/>
      <c r="G47" s="162"/>
      <c r="H47" s="163"/>
      <c r="I47" s="164"/>
      <c r="J47" s="28"/>
      <c r="K47" s="38"/>
      <c r="L47" s="38"/>
      <c r="M47" s="38"/>
      <c r="N47" s="38"/>
      <c r="O47" s="38"/>
      <c r="P47" s="38"/>
      <c r="Q47" s="38"/>
      <c r="R47" s="38"/>
      <c r="S47" s="38"/>
    </row>
    <row r="48" spans="3:9" ht="15.75" thickBot="1">
      <c r="C48" s="204" t="s">
        <v>135</v>
      </c>
      <c r="D48" s="201"/>
      <c r="E48" s="199" t="s">
        <v>11</v>
      </c>
      <c r="F48" s="200"/>
      <c r="G48" s="200"/>
      <c r="H48" s="200"/>
      <c r="I48" s="201"/>
    </row>
    <row r="49" spans="3:9" ht="60">
      <c r="C49" s="56" t="s">
        <v>136</v>
      </c>
      <c r="D49" s="155" t="s">
        <v>123</v>
      </c>
      <c r="E49" s="61" t="s">
        <v>193</v>
      </c>
      <c r="F49" s="58" t="s">
        <v>36</v>
      </c>
      <c r="G49" s="156">
        <v>2</v>
      </c>
      <c r="H49" s="157">
        <f>(1+$I$6)*788.56</f>
        <v>1032.23</v>
      </c>
      <c r="I49" s="52">
        <f t="shared" si="1"/>
        <v>2064.46</v>
      </c>
    </row>
    <row r="50" spans="3:9" ht="60">
      <c r="C50" s="56" t="s">
        <v>137</v>
      </c>
      <c r="D50" s="155" t="s">
        <v>124</v>
      </c>
      <c r="E50" s="61" t="s">
        <v>194</v>
      </c>
      <c r="F50" s="58" t="s">
        <v>36</v>
      </c>
      <c r="G50" s="156">
        <v>18</v>
      </c>
      <c r="H50" s="157">
        <f>(1+$I$6)*472.69</f>
        <v>618.75</v>
      </c>
      <c r="I50" s="52">
        <f aca="true" t="shared" si="2" ref="I50:I63">H50*G50</f>
        <v>11137.5</v>
      </c>
    </row>
    <row r="51" spans="3:9" ht="45">
      <c r="C51" s="56" t="s">
        <v>138</v>
      </c>
      <c r="D51" s="155" t="s">
        <v>125</v>
      </c>
      <c r="E51" s="61" t="s">
        <v>187</v>
      </c>
      <c r="F51" s="58" t="s">
        <v>36</v>
      </c>
      <c r="G51" s="156">
        <v>5</v>
      </c>
      <c r="H51" s="157">
        <f>(1+$I$6)*114.58</f>
        <v>149.99</v>
      </c>
      <c r="I51" s="52">
        <f t="shared" si="2"/>
        <v>749.95</v>
      </c>
    </row>
    <row r="52" spans="3:9" ht="30">
      <c r="C52" s="56" t="s">
        <v>139</v>
      </c>
      <c r="D52" s="19" t="s">
        <v>127</v>
      </c>
      <c r="E52" s="6" t="s">
        <v>167</v>
      </c>
      <c r="F52" s="8" t="s">
        <v>3</v>
      </c>
      <c r="G52" s="9">
        <f>465*3</f>
        <v>1395</v>
      </c>
      <c r="H52" s="157">
        <f>(1+$I$6)*9.05</f>
        <v>11.85</v>
      </c>
      <c r="I52" s="52">
        <f t="shared" si="2"/>
        <v>16530.75</v>
      </c>
    </row>
    <row r="53" spans="3:9" ht="30.75" thickBot="1">
      <c r="C53" s="56" t="s">
        <v>140</v>
      </c>
      <c r="D53" s="159" t="s">
        <v>128</v>
      </c>
      <c r="E53" s="53" t="s">
        <v>126</v>
      </c>
      <c r="F53" s="54" t="s">
        <v>3</v>
      </c>
      <c r="G53" s="151">
        <f>G52/3</f>
        <v>465</v>
      </c>
      <c r="H53" s="157">
        <f>(1+$I$6)*5.78</f>
        <v>7.57</v>
      </c>
      <c r="I53" s="52">
        <f t="shared" si="2"/>
        <v>3520.05</v>
      </c>
    </row>
    <row r="54" spans="3:19" s="29" customFormat="1" ht="15" customHeight="1">
      <c r="C54" s="182" t="s">
        <v>179</v>
      </c>
      <c r="D54" s="183"/>
      <c r="E54" s="183"/>
      <c r="F54" s="183"/>
      <c r="G54" s="184"/>
      <c r="H54" s="185">
        <f>SUM(I49:I53)</f>
        <v>34002.71</v>
      </c>
      <c r="I54" s="186"/>
      <c r="J54" s="28"/>
      <c r="K54" s="38"/>
      <c r="L54" s="38"/>
      <c r="M54" s="38"/>
      <c r="N54" s="38"/>
      <c r="O54" s="38"/>
      <c r="P54" s="38"/>
      <c r="Q54" s="38"/>
      <c r="R54" s="38"/>
      <c r="S54" s="38"/>
    </row>
    <row r="55" spans="3:19" s="29" customFormat="1" ht="15.75" customHeight="1" thickBot="1">
      <c r="C55" s="187" t="s">
        <v>175</v>
      </c>
      <c r="D55" s="188"/>
      <c r="E55" s="188"/>
      <c r="F55" s="188"/>
      <c r="G55" s="189"/>
      <c r="H55" s="190">
        <f>H54/H$86</f>
        <v>0.1699</v>
      </c>
      <c r="I55" s="191"/>
      <c r="J55" s="28"/>
      <c r="K55" s="38"/>
      <c r="L55" s="38"/>
      <c r="M55" s="38"/>
      <c r="N55" s="38"/>
      <c r="O55" s="38"/>
      <c r="P55" s="38"/>
      <c r="Q55" s="38"/>
      <c r="R55" s="38"/>
      <c r="S55" s="38"/>
    </row>
    <row r="56" spans="3:19" s="29" customFormat="1" ht="15.75" thickBot="1">
      <c r="C56" s="160"/>
      <c r="D56" s="161"/>
      <c r="E56" s="161"/>
      <c r="F56" s="161"/>
      <c r="G56" s="162"/>
      <c r="H56" s="163"/>
      <c r="I56" s="164"/>
      <c r="J56" s="28"/>
      <c r="K56" s="38"/>
      <c r="L56" s="38"/>
      <c r="M56" s="38"/>
      <c r="N56" s="38"/>
      <c r="O56" s="38"/>
      <c r="P56" s="38"/>
      <c r="Q56" s="38"/>
      <c r="R56" s="38"/>
      <c r="S56" s="38"/>
    </row>
    <row r="57" spans="3:9" ht="15.75" thickBot="1">
      <c r="C57" s="204" t="s">
        <v>147</v>
      </c>
      <c r="D57" s="201"/>
      <c r="E57" s="199" t="s">
        <v>12</v>
      </c>
      <c r="F57" s="200"/>
      <c r="G57" s="200"/>
      <c r="H57" s="200"/>
      <c r="I57" s="201"/>
    </row>
    <row r="58" spans="3:9" ht="30">
      <c r="C58" s="56" t="s">
        <v>148</v>
      </c>
      <c r="D58" s="155" t="s">
        <v>143</v>
      </c>
      <c r="E58" s="57" t="s">
        <v>0</v>
      </c>
      <c r="F58" s="58" t="s">
        <v>36</v>
      </c>
      <c r="G58" s="156">
        <v>144</v>
      </c>
      <c r="H58" s="157">
        <f>(1+$I$6)*2.19</f>
        <v>2.87</v>
      </c>
      <c r="I58" s="158">
        <f t="shared" si="2"/>
        <v>413.28</v>
      </c>
    </row>
    <row r="59" spans="3:9" ht="30">
      <c r="C59" s="56" t="s">
        <v>149</v>
      </c>
      <c r="D59" s="19" t="s">
        <v>144</v>
      </c>
      <c r="E59" s="6" t="s">
        <v>1</v>
      </c>
      <c r="F59" s="8" t="s">
        <v>36</v>
      </c>
      <c r="G59" s="9">
        <v>64</v>
      </c>
      <c r="H59" s="49">
        <f>(1+$I$6)*20.29</f>
        <v>26.56</v>
      </c>
      <c r="I59" s="52">
        <f t="shared" si="2"/>
        <v>1699.84</v>
      </c>
    </row>
    <row r="60" spans="3:9" ht="30">
      <c r="C60" s="56" t="s">
        <v>150</v>
      </c>
      <c r="D60" s="19" t="s">
        <v>145</v>
      </c>
      <c r="E60" s="4" t="s">
        <v>2</v>
      </c>
      <c r="F60" s="8" t="s">
        <v>3</v>
      </c>
      <c r="G60" s="9">
        <v>189</v>
      </c>
      <c r="H60" s="49">
        <f>(1+$I$6)*2.52</f>
        <v>3.3</v>
      </c>
      <c r="I60" s="52">
        <f t="shared" si="2"/>
        <v>623.7</v>
      </c>
    </row>
    <row r="61" spans="3:9" ht="60">
      <c r="C61" s="56" t="s">
        <v>151</v>
      </c>
      <c r="D61" s="19" t="s">
        <v>142</v>
      </c>
      <c r="E61" s="6" t="s">
        <v>185</v>
      </c>
      <c r="F61" s="8" t="s">
        <v>36</v>
      </c>
      <c r="G61" s="9">
        <v>36</v>
      </c>
      <c r="H61" s="49">
        <f>(1+$I$6)*58.65</f>
        <v>76.77</v>
      </c>
      <c r="I61" s="52">
        <f t="shared" si="2"/>
        <v>2763.72</v>
      </c>
    </row>
    <row r="62" spans="3:9" ht="45">
      <c r="C62" s="56" t="s">
        <v>152</v>
      </c>
      <c r="D62" s="19" t="s">
        <v>141</v>
      </c>
      <c r="E62" s="6" t="s">
        <v>186</v>
      </c>
      <c r="F62" s="8" t="s">
        <v>36</v>
      </c>
      <c r="G62" s="9">
        <v>34</v>
      </c>
      <c r="H62" s="49">
        <f>(1+$I$6)*5.54</f>
        <v>7.25</v>
      </c>
      <c r="I62" s="52">
        <f t="shared" si="2"/>
        <v>246.5</v>
      </c>
    </row>
    <row r="63" spans="3:9" ht="30.75" thickBot="1">
      <c r="C63" s="56" t="s">
        <v>153</v>
      </c>
      <c r="D63" s="150" t="s">
        <v>146</v>
      </c>
      <c r="E63" s="15" t="s">
        <v>8</v>
      </c>
      <c r="F63" s="3" t="s">
        <v>3</v>
      </c>
      <c r="G63" s="11">
        <v>868</v>
      </c>
      <c r="H63" s="55">
        <f>(1+$I$6)*22.36</f>
        <v>29.27</v>
      </c>
      <c r="I63" s="67">
        <f t="shared" si="2"/>
        <v>25406.36</v>
      </c>
    </row>
    <row r="64" spans="3:19" s="29" customFormat="1" ht="15" customHeight="1">
      <c r="C64" s="182" t="s">
        <v>180</v>
      </c>
      <c r="D64" s="183"/>
      <c r="E64" s="183"/>
      <c r="F64" s="183"/>
      <c r="G64" s="184"/>
      <c r="H64" s="185">
        <f>SUM(I58:I63)</f>
        <v>31153.4</v>
      </c>
      <c r="I64" s="186"/>
      <c r="J64" s="28"/>
      <c r="K64" s="38"/>
      <c r="L64" s="38"/>
      <c r="M64" s="38"/>
      <c r="N64" s="38"/>
      <c r="O64" s="38"/>
      <c r="P64" s="38"/>
      <c r="Q64" s="38"/>
      <c r="R64" s="38"/>
      <c r="S64" s="38"/>
    </row>
    <row r="65" spans="3:19" s="29" customFormat="1" ht="15.75" customHeight="1" thickBot="1">
      <c r="C65" s="187" t="s">
        <v>175</v>
      </c>
      <c r="D65" s="188"/>
      <c r="E65" s="188"/>
      <c r="F65" s="188"/>
      <c r="G65" s="189"/>
      <c r="H65" s="190">
        <f>H64/H$86</f>
        <v>0.1557</v>
      </c>
      <c r="I65" s="191"/>
      <c r="J65" s="28"/>
      <c r="K65" s="38"/>
      <c r="L65" s="38"/>
      <c r="M65" s="38"/>
      <c r="N65" s="38"/>
      <c r="O65" s="38"/>
      <c r="P65" s="38"/>
      <c r="Q65" s="38"/>
      <c r="R65" s="38"/>
      <c r="S65" s="38"/>
    </row>
    <row r="66" spans="3:19" s="29" customFormat="1" ht="15.75" thickBot="1">
      <c r="C66" s="160"/>
      <c r="D66" s="161"/>
      <c r="E66" s="161"/>
      <c r="F66" s="161"/>
      <c r="G66" s="162"/>
      <c r="H66" s="163"/>
      <c r="I66" s="164"/>
      <c r="J66" s="28"/>
      <c r="K66" s="38"/>
      <c r="L66" s="38"/>
      <c r="M66" s="38"/>
      <c r="N66" s="38"/>
      <c r="O66" s="38"/>
      <c r="P66" s="38"/>
      <c r="Q66" s="38"/>
      <c r="R66" s="38"/>
      <c r="S66" s="38"/>
    </row>
    <row r="67" spans="3:9" ht="15.75" thickBot="1">
      <c r="C67" s="198" t="s">
        <v>156</v>
      </c>
      <c r="D67" s="181"/>
      <c r="E67" s="199" t="s">
        <v>4</v>
      </c>
      <c r="F67" s="200"/>
      <c r="G67" s="200"/>
      <c r="H67" s="200"/>
      <c r="I67" s="201"/>
    </row>
    <row r="68" spans="3:9" ht="30">
      <c r="C68" s="152" t="s">
        <v>157</v>
      </c>
      <c r="D68" s="20" t="s">
        <v>168</v>
      </c>
      <c r="E68" s="14" t="s">
        <v>14</v>
      </c>
      <c r="F68" s="7" t="s">
        <v>36</v>
      </c>
      <c r="G68" s="12">
        <v>60</v>
      </c>
      <c r="H68" s="50">
        <f>(1+$I$6)*61.35</f>
        <v>80.31</v>
      </c>
      <c r="I68" s="51">
        <f aca="true" t="shared" si="3" ref="I68:I77">G68*H68</f>
        <v>4818.6</v>
      </c>
    </row>
    <row r="69" spans="3:9" ht="30">
      <c r="C69" s="153" t="s">
        <v>158</v>
      </c>
      <c r="D69" s="19" t="s">
        <v>169</v>
      </c>
      <c r="E69" s="6" t="s">
        <v>7</v>
      </c>
      <c r="F69" s="8" t="s">
        <v>36</v>
      </c>
      <c r="G69" s="9">
        <v>30</v>
      </c>
      <c r="H69" s="49">
        <f>(1+$I$6)*8.59</f>
        <v>11.24</v>
      </c>
      <c r="I69" s="52">
        <f t="shared" si="3"/>
        <v>337.2</v>
      </c>
    </row>
    <row r="70" spans="3:9" ht="30">
      <c r="C70" s="153" t="s">
        <v>159</v>
      </c>
      <c r="D70" s="19" t="s">
        <v>154</v>
      </c>
      <c r="E70" s="4" t="s">
        <v>5</v>
      </c>
      <c r="F70" s="8" t="s">
        <v>3</v>
      </c>
      <c r="G70" s="9">
        <v>204</v>
      </c>
      <c r="H70" s="49">
        <f>(1+$I$6)*1.15</f>
        <v>1.51</v>
      </c>
      <c r="I70" s="52">
        <f t="shared" si="3"/>
        <v>308.04</v>
      </c>
    </row>
    <row r="71" spans="3:9" ht="30">
      <c r="C71" s="153" t="s">
        <v>160</v>
      </c>
      <c r="D71" s="19" t="s">
        <v>170</v>
      </c>
      <c r="E71" s="6" t="s">
        <v>217</v>
      </c>
      <c r="F71" s="8" t="s">
        <v>36</v>
      </c>
      <c r="G71" s="9">
        <v>34</v>
      </c>
      <c r="H71" s="49">
        <f>(1+$I$6)*128.74</f>
        <v>168.52</v>
      </c>
      <c r="I71" s="52">
        <f t="shared" si="3"/>
        <v>5729.68</v>
      </c>
    </row>
    <row r="72" spans="3:9" ht="30">
      <c r="C72" s="153" t="s">
        <v>161</v>
      </c>
      <c r="D72" s="19" t="s">
        <v>171</v>
      </c>
      <c r="E72" s="6" t="s">
        <v>218</v>
      </c>
      <c r="F72" s="8" t="s">
        <v>36</v>
      </c>
      <c r="G72" s="9">
        <v>34</v>
      </c>
      <c r="H72" s="49">
        <f>(1+$I$6)*105.76</f>
        <v>138.44</v>
      </c>
      <c r="I72" s="52">
        <f t="shared" si="3"/>
        <v>4706.96</v>
      </c>
    </row>
    <row r="73" spans="3:9" ht="60">
      <c r="C73" s="153" t="s">
        <v>162</v>
      </c>
      <c r="D73" s="19" t="s">
        <v>172</v>
      </c>
      <c r="E73" s="6" t="s">
        <v>155</v>
      </c>
      <c r="F73" s="8" t="s">
        <v>36</v>
      </c>
      <c r="G73" s="9">
        <v>34</v>
      </c>
      <c r="H73" s="49">
        <f>(1+$I$6)*19.1</f>
        <v>25</v>
      </c>
      <c r="I73" s="52">
        <f t="shared" si="3"/>
        <v>850</v>
      </c>
    </row>
    <row r="74" spans="3:9" ht="30">
      <c r="C74" s="153" t="s">
        <v>163</v>
      </c>
      <c r="D74" s="19" t="s">
        <v>219</v>
      </c>
      <c r="E74" s="6" t="s">
        <v>220</v>
      </c>
      <c r="F74" s="8" t="s">
        <v>36</v>
      </c>
      <c r="G74" s="9">
        <v>34</v>
      </c>
      <c r="H74" s="49">
        <f>(1+$I$6)*496.2</f>
        <v>649.53</v>
      </c>
      <c r="I74" s="52">
        <f t="shared" si="3"/>
        <v>22084.02</v>
      </c>
    </row>
    <row r="75" spans="3:9" ht="30">
      <c r="C75" s="153" t="s">
        <v>164</v>
      </c>
      <c r="D75" s="19" t="s">
        <v>221</v>
      </c>
      <c r="E75" s="4" t="s">
        <v>222</v>
      </c>
      <c r="F75" s="8" t="s">
        <v>36</v>
      </c>
      <c r="G75" s="9">
        <v>34</v>
      </c>
      <c r="H75" s="49">
        <f>(1+$I$6)*36.09</f>
        <v>47.24</v>
      </c>
      <c r="I75" s="52">
        <f t="shared" si="3"/>
        <v>1606.16</v>
      </c>
    </row>
    <row r="76" spans="3:9" ht="30">
      <c r="C76" s="153" t="s">
        <v>165</v>
      </c>
      <c r="D76" s="19" t="s">
        <v>223</v>
      </c>
      <c r="E76" s="4" t="s">
        <v>224</v>
      </c>
      <c r="F76" s="8" t="s">
        <v>36</v>
      </c>
      <c r="G76" s="9">
        <v>34</v>
      </c>
      <c r="H76" s="49">
        <f>(1+$I$6)*37</f>
        <v>48.43</v>
      </c>
      <c r="I76" s="52">
        <f t="shared" si="3"/>
        <v>1646.62</v>
      </c>
    </row>
    <row r="77" spans="3:9" ht="30.75" thickBot="1">
      <c r="C77" s="153" t="s">
        <v>166</v>
      </c>
      <c r="D77" s="22" t="s">
        <v>173</v>
      </c>
      <c r="E77" s="68" t="s">
        <v>6</v>
      </c>
      <c r="F77" s="3" t="s">
        <v>36</v>
      </c>
      <c r="G77" s="11">
        <v>34</v>
      </c>
      <c r="H77" s="55">
        <f>(1+$I$6)*33.67</f>
        <v>44.07</v>
      </c>
      <c r="I77" s="67">
        <f t="shared" si="3"/>
        <v>1498.38</v>
      </c>
    </row>
    <row r="78" spans="3:19" s="29" customFormat="1" ht="15" customHeight="1">
      <c r="C78" s="182" t="s">
        <v>181</v>
      </c>
      <c r="D78" s="183"/>
      <c r="E78" s="183"/>
      <c r="F78" s="183"/>
      <c r="G78" s="184"/>
      <c r="H78" s="185">
        <f>SUM(I68:I77)</f>
        <v>43585.66</v>
      </c>
      <c r="I78" s="186"/>
      <c r="J78" s="28"/>
      <c r="K78" s="38"/>
      <c r="L78" s="38"/>
      <c r="M78" s="38"/>
      <c r="N78" s="38"/>
      <c r="O78" s="38"/>
      <c r="P78" s="38"/>
      <c r="Q78" s="38"/>
      <c r="R78" s="38"/>
      <c r="S78" s="38"/>
    </row>
    <row r="79" spans="3:19" s="29" customFormat="1" ht="15.75" customHeight="1" thickBot="1">
      <c r="C79" s="187" t="s">
        <v>175</v>
      </c>
      <c r="D79" s="188"/>
      <c r="E79" s="188"/>
      <c r="F79" s="188"/>
      <c r="G79" s="189"/>
      <c r="H79" s="190">
        <f>H78/H$86</f>
        <v>0.2178</v>
      </c>
      <c r="I79" s="191"/>
      <c r="J79" s="28"/>
      <c r="K79" s="38"/>
      <c r="L79" s="38"/>
      <c r="M79" s="38"/>
      <c r="N79" s="38"/>
      <c r="O79" s="38"/>
      <c r="P79" s="38"/>
      <c r="Q79" s="38"/>
      <c r="R79" s="38"/>
      <c r="S79" s="38"/>
    </row>
    <row r="80" spans="3:19" s="29" customFormat="1" ht="15.75" thickBot="1">
      <c r="C80" s="160"/>
      <c r="D80" s="161"/>
      <c r="E80" s="161"/>
      <c r="F80" s="161"/>
      <c r="G80" s="162"/>
      <c r="H80" s="163"/>
      <c r="I80" s="164"/>
      <c r="J80" s="28"/>
      <c r="K80" s="38"/>
      <c r="L80" s="38"/>
      <c r="M80" s="38"/>
      <c r="N80" s="38"/>
      <c r="O80" s="38"/>
      <c r="P80" s="38"/>
      <c r="Q80" s="38"/>
      <c r="R80" s="38"/>
      <c r="S80" s="38"/>
    </row>
    <row r="81" spans="3:19" s="5" customFormat="1" ht="15.75" thickBot="1">
      <c r="C81" s="202" t="s">
        <v>225</v>
      </c>
      <c r="D81" s="231"/>
      <c r="E81" s="179" t="s">
        <v>226</v>
      </c>
      <c r="F81" s="180"/>
      <c r="G81" s="180"/>
      <c r="H81" s="180"/>
      <c r="I81" s="181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3:19" s="5" customFormat="1" ht="120.75" thickBot="1">
      <c r="C82" s="171" t="s">
        <v>227</v>
      </c>
      <c r="D82" s="172" t="s">
        <v>228</v>
      </c>
      <c r="E82" s="173" t="s">
        <v>231</v>
      </c>
      <c r="F82" s="174" t="s">
        <v>229</v>
      </c>
      <c r="G82" s="175">
        <v>1</v>
      </c>
      <c r="H82" s="176">
        <v>18402.93</v>
      </c>
      <c r="I82" s="177">
        <f>H82*G82</f>
        <v>18402.93</v>
      </c>
      <c r="K82" s="178"/>
      <c r="L82" s="169"/>
      <c r="M82" s="169"/>
      <c r="N82" s="169"/>
      <c r="O82" s="169"/>
      <c r="P82" s="169"/>
      <c r="Q82" s="169"/>
      <c r="R82" s="169"/>
      <c r="S82" s="169"/>
    </row>
    <row r="83" spans="3:19" s="29" customFormat="1" ht="15" customHeight="1">
      <c r="C83" s="182" t="s">
        <v>230</v>
      </c>
      <c r="D83" s="183"/>
      <c r="E83" s="183"/>
      <c r="F83" s="183"/>
      <c r="G83" s="184"/>
      <c r="H83" s="185">
        <f>SUM(I82:I82)</f>
        <v>18402.93</v>
      </c>
      <c r="I83" s="186"/>
      <c r="J83" s="28"/>
      <c r="K83" s="38"/>
      <c r="L83" s="38"/>
      <c r="M83" s="38"/>
      <c r="N83" s="38"/>
      <c r="O83" s="38"/>
      <c r="P83" s="38"/>
      <c r="Q83" s="38"/>
      <c r="R83" s="38"/>
      <c r="S83" s="38"/>
    </row>
    <row r="84" spans="3:19" s="29" customFormat="1" ht="15.75" customHeight="1" thickBot="1">
      <c r="C84" s="187" t="s">
        <v>175</v>
      </c>
      <c r="D84" s="188"/>
      <c r="E84" s="188"/>
      <c r="F84" s="188"/>
      <c r="G84" s="189"/>
      <c r="H84" s="190">
        <f>H83/H$86</f>
        <v>0.092</v>
      </c>
      <c r="I84" s="191"/>
      <c r="J84" s="28"/>
      <c r="K84" s="38"/>
      <c r="L84" s="38"/>
      <c r="M84" s="38"/>
      <c r="N84" s="38"/>
      <c r="O84" s="38"/>
      <c r="P84" s="38"/>
      <c r="Q84" s="38"/>
      <c r="R84" s="38"/>
      <c r="S84" s="38"/>
    </row>
    <row r="85" spans="3:19" s="29" customFormat="1" ht="15.75" thickBot="1">
      <c r="C85" s="160"/>
      <c r="D85" s="161"/>
      <c r="E85" s="161"/>
      <c r="F85" s="161"/>
      <c r="G85" s="162"/>
      <c r="H85" s="163"/>
      <c r="I85" s="164"/>
      <c r="J85" s="28"/>
      <c r="K85" s="38"/>
      <c r="L85" s="38"/>
      <c r="M85" s="38"/>
      <c r="N85" s="38"/>
      <c r="O85" s="38"/>
      <c r="P85" s="38"/>
      <c r="Q85" s="38"/>
      <c r="R85" s="38"/>
      <c r="S85" s="38"/>
    </row>
    <row r="86" spans="3:19" s="29" customFormat="1" ht="15" customHeight="1" thickBot="1">
      <c r="C86" s="240" t="s">
        <v>182</v>
      </c>
      <c r="D86" s="241"/>
      <c r="E86" s="241"/>
      <c r="F86" s="241"/>
      <c r="G86" s="241"/>
      <c r="H86" s="242">
        <f>H78+H64+H54+H45+H36+H27+H19+H83</f>
        <v>200123.86</v>
      </c>
      <c r="I86" s="243"/>
      <c r="J86" s="28"/>
      <c r="K86" s="38"/>
      <c r="L86" s="38"/>
      <c r="M86" s="38"/>
      <c r="N86" s="38"/>
      <c r="O86" s="38"/>
      <c r="P86" s="38"/>
      <c r="Q86" s="38"/>
      <c r="R86" s="38"/>
      <c r="S86" s="38"/>
    </row>
  </sheetData>
  <sheetProtection/>
  <mergeCells count="65">
    <mergeCell ref="C86:G86"/>
    <mergeCell ref="H86:I86"/>
    <mergeCell ref="C64:G64"/>
    <mergeCell ref="H64:I64"/>
    <mergeCell ref="C65:G65"/>
    <mergeCell ref="H65:I65"/>
    <mergeCell ref="C78:G78"/>
    <mergeCell ref="H78:I78"/>
    <mergeCell ref="E67:I67"/>
    <mergeCell ref="C81:D81"/>
    <mergeCell ref="C54:G54"/>
    <mergeCell ref="H54:I54"/>
    <mergeCell ref="C55:G55"/>
    <mergeCell ref="H55:I55"/>
    <mergeCell ref="C48:D48"/>
    <mergeCell ref="C79:G79"/>
    <mergeCell ref="H79:I79"/>
    <mergeCell ref="C57:D57"/>
    <mergeCell ref="H37:I37"/>
    <mergeCell ref="C30:D30"/>
    <mergeCell ref="C45:G45"/>
    <mergeCell ref="H45:I45"/>
    <mergeCell ref="E39:I39"/>
    <mergeCell ref="C46:G46"/>
    <mergeCell ref="H46:I46"/>
    <mergeCell ref="C36:G36"/>
    <mergeCell ref="H36:I36"/>
    <mergeCell ref="C37:G3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H28:I28"/>
    <mergeCell ref="C7:C8"/>
    <mergeCell ref="D7:D8"/>
    <mergeCell ref="E7:E8"/>
    <mergeCell ref="F7:F8"/>
    <mergeCell ref="G7:G8"/>
    <mergeCell ref="H7:I7"/>
    <mergeCell ref="C67:D67"/>
    <mergeCell ref="E57:I57"/>
    <mergeCell ref="E48:I48"/>
    <mergeCell ref="C39:D39"/>
    <mergeCell ref="C22:D22"/>
    <mergeCell ref="C27:G27"/>
    <mergeCell ref="H27:I27"/>
    <mergeCell ref="E22:I22"/>
    <mergeCell ref="E30:I30"/>
    <mergeCell ref="C28:G28"/>
    <mergeCell ref="E81:I81"/>
    <mergeCell ref="C83:G83"/>
    <mergeCell ref="H83:I83"/>
    <mergeCell ref="C84:G84"/>
    <mergeCell ref="H84:I84"/>
    <mergeCell ref="G6:H6"/>
    <mergeCell ref="H19:I19"/>
    <mergeCell ref="H20:I20"/>
    <mergeCell ref="C19:G19"/>
    <mergeCell ref="C20:G20"/>
  </mergeCells>
  <printOptions horizontalCentered="1"/>
  <pageMargins left="0.7874015748031497" right="0.5118110236220472" top="0.7874015748031497" bottom="0.7874015748031497" header="0.31496062992125984" footer="0.31496062992125984"/>
  <pageSetup fitToHeight="10" horizontalDpi="600" verticalDpi="600" orientation="portrait" paperSize="9" scale="81" r:id="rId2"/>
  <rowBreaks count="1" manualBreakCount="1">
    <brk id="65" min="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zoomScalePageLayoutView="0" workbookViewId="0" topLeftCell="A1">
      <selection activeCell="B1" sqref="B1:G40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44" t="s">
        <v>80</v>
      </c>
      <c r="C1" s="245"/>
      <c r="D1" s="246"/>
      <c r="E1" s="72"/>
      <c r="F1" s="73"/>
      <c r="G1" s="74"/>
    </row>
    <row r="2" spans="1:9" ht="15" customHeight="1">
      <c r="A2" s="76"/>
      <c r="B2" s="247"/>
      <c r="C2" s="248"/>
      <c r="D2" s="249"/>
      <c r="E2" s="77"/>
      <c r="F2" s="78"/>
      <c r="G2" s="79"/>
      <c r="H2" s="80"/>
      <c r="I2" s="80"/>
    </row>
    <row r="3" spans="1:9" ht="28.5" customHeight="1" thickBot="1">
      <c r="A3" s="81"/>
      <c r="B3" s="250"/>
      <c r="C3" s="251"/>
      <c r="D3" s="252"/>
      <c r="E3" s="253" t="s">
        <v>18</v>
      </c>
      <c r="F3" s="254"/>
      <c r="G3" s="255"/>
      <c r="H3" s="82"/>
      <c r="I3" s="80"/>
    </row>
    <row r="4" spans="1:9" ht="15" customHeight="1">
      <c r="A4" s="83"/>
      <c r="B4" s="256" t="s">
        <v>19</v>
      </c>
      <c r="C4" s="257"/>
      <c r="D4" s="258"/>
      <c r="E4" s="259" t="s">
        <v>20</v>
      </c>
      <c r="F4" s="260"/>
      <c r="G4" s="84" t="s">
        <v>21</v>
      </c>
      <c r="H4" s="80"/>
      <c r="I4" s="80"/>
    </row>
    <row r="5" spans="1:9" ht="15" customHeight="1">
      <c r="A5" s="85"/>
      <c r="B5" s="261"/>
      <c r="C5" s="262"/>
      <c r="D5" s="262"/>
      <c r="E5" s="263" t="s">
        <v>23</v>
      </c>
      <c r="F5" s="264"/>
      <c r="G5" s="86">
        <f>Plan1!I5</f>
        <v>0.9226</v>
      </c>
      <c r="H5" s="80"/>
      <c r="I5" s="80"/>
    </row>
    <row r="6" spans="1:10" ht="15" customHeight="1" thickBot="1">
      <c r="A6" s="85"/>
      <c r="B6" s="265" t="s">
        <v>33</v>
      </c>
      <c r="C6" s="266"/>
      <c r="D6" s="267"/>
      <c r="E6" s="268" t="s">
        <v>24</v>
      </c>
      <c r="F6" s="269"/>
      <c r="G6" s="87">
        <f>Plan1!I6</f>
        <v>0.309</v>
      </c>
      <c r="H6" s="80"/>
      <c r="I6" s="80"/>
      <c r="J6" s="88"/>
    </row>
    <row r="7" spans="2:7" ht="13.5" thickBot="1">
      <c r="B7" s="270" t="s">
        <v>47</v>
      </c>
      <c r="C7" s="271"/>
      <c r="D7" s="271"/>
      <c r="E7" s="271"/>
      <c r="F7" s="271"/>
      <c r="G7" s="272"/>
    </row>
    <row r="8" spans="2:7" ht="13.5" customHeight="1" thickBot="1">
      <c r="B8" s="89" t="s">
        <v>48</v>
      </c>
      <c r="C8" s="89" t="s">
        <v>25</v>
      </c>
      <c r="D8" s="273" t="s">
        <v>49</v>
      </c>
      <c r="E8" s="274"/>
      <c r="F8" s="273" t="s">
        <v>50</v>
      </c>
      <c r="G8" s="274"/>
    </row>
    <row r="9" spans="2:7" ht="13.5" thickBot="1">
      <c r="B9" s="90" t="s">
        <v>82</v>
      </c>
      <c r="C9" s="91" t="s">
        <v>51</v>
      </c>
      <c r="D9" s="275" t="s">
        <v>36</v>
      </c>
      <c r="E9" s="275"/>
      <c r="F9" s="276" t="str">
        <f>Plan1!I4</f>
        <v>MAR / 2016</v>
      </c>
      <c r="G9" s="277"/>
    </row>
    <row r="10" spans="2:7" ht="13.5" thickBot="1">
      <c r="B10" s="278"/>
      <c r="C10" s="279"/>
      <c r="D10" s="279"/>
      <c r="E10" s="279"/>
      <c r="F10" s="279"/>
      <c r="G10" s="280"/>
    </row>
    <row r="11" spans="2:7" ht="26.25" thickBot="1">
      <c r="B11" s="92" t="s">
        <v>48</v>
      </c>
      <c r="C11" s="93"/>
      <c r="D11" s="93" t="s">
        <v>52</v>
      </c>
      <c r="E11" s="93" t="s">
        <v>53</v>
      </c>
      <c r="F11" s="93" t="s">
        <v>54</v>
      </c>
      <c r="G11" s="94" t="s">
        <v>55</v>
      </c>
    </row>
    <row r="12" spans="2:7" ht="13.5" thickBot="1">
      <c r="B12" s="281"/>
      <c r="C12" s="282"/>
      <c r="D12" s="282"/>
      <c r="E12" s="282"/>
      <c r="F12" s="282"/>
      <c r="G12" s="283"/>
    </row>
    <row r="13" spans="2:7" ht="13.5" thickBot="1">
      <c r="B13" s="284" t="s">
        <v>56</v>
      </c>
      <c r="C13" s="285"/>
      <c r="D13" s="285"/>
      <c r="E13" s="285"/>
      <c r="F13" s="285"/>
      <c r="G13" s="286"/>
    </row>
    <row r="14" spans="2:7" ht="12.75">
      <c r="B14" s="95" t="s">
        <v>57</v>
      </c>
      <c r="C14" s="96" t="s">
        <v>58</v>
      </c>
      <c r="D14" s="97" t="s">
        <v>59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60</v>
      </c>
      <c r="C15" s="101" t="s">
        <v>61</v>
      </c>
      <c r="D15" s="102" t="s">
        <v>59</v>
      </c>
      <c r="E15" s="103">
        <v>0.5</v>
      </c>
      <c r="F15" s="104">
        <v>4.31</v>
      </c>
      <c r="G15" s="105">
        <f>F15*E15</f>
        <v>2.16</v>
      </c>
    </row>
    <row r="16" spans="2:7" ht="13.5" thickBot="1">
      <c r="B16" s="106" t="s">
        <v>62</v>
      </c>
      <c r="C16" s="93"/>
      <c r="D16" s="107"/>
      <c r="E16" s="108"/>
      <c r="F16" s="109"/>
      <c r="G16" s="110">
        <f>SUM(G14:G15)</f>
        <v>4.72</v>
      </c>
    </row>
    <row r="17" spans="2:7" ht="13.5" thickBot="1">
      <c r="B17" s="281"/>
      <c r="C17" s="282"/>
      <c r="D17" s="282"/>
      <c r="E17" s="282"/>
      <c r="F17" s="282"/>
      <c r="G17" s="283"/>
    </row>
    <row r="18" spans="2:7" ht="13.5" thickBot="1">
      <c r="B18" s="287" t="s">
        <v>63</v>
      </c>
      <c r="C18" s="288"/>
      <c r="D18" s="288"/>
      <c r="E18" s="288"/>
      <c r="F18" s="288"/>
      <c r="G18" s="289"/>
    </row>
    <row r="19" spans="2:7" ht="25.5">
      <c r="B19" s="139" t="s">
        <v>85</v>
      </c>
      <c r="C19" s="140" t="s">
        <v>86</v>
      </c>
      <c r="D19" s="141" t="s">
        <v>84</v>
      </c>
      <c r="E19" s="142">
        <v>2</v>
      </c>
      <c r="F19" s="141">
        <v>7.72</v>
      </c>
      <c r="G19" s="143">
        <f aca="true" t="shared" si="0" ref="G19:G24">F19*E19</f>
        <v>15.44</v>
      </c>
    </row>
    <row r="20" spans="2:7" ht="25.5">
      <c r="B20" s="144" t="s">
        <v>87</v>
      </c>
      <c r="C20" s="136" t="s">
        <v>88</v>
      </c>
      <c r="D20" s="137" t="s">
        <v>84</v>
      </c>
      <c r="E20" s="138">
        <v>2</v>
      </c>
      <c r="F20" s="137">
        <v>11.97</v>
      </c>
      <c r="G20" s="145">
        <f t="shared" si="0"/>
        <v>23.94</v>
      </c>
    </row>
    <row r="21" spans="2:7" ht="25.5">
      <c r="B21" s="144" t="s">
        <v>89</v>
      </c>
      <c r="C21" s="136" t="s">
        <v>93</v>
      </c>
      <c r="D21" s="137" t="s">
        <v>84</v>
      </c>
      <c r="E21" s="138">
        <v>2</v>
      </c>
      <c r="F21" s="137">
        <v>20.29</v>
      </c>
      <c r="G21" s="145">
        <f t="shared" si="0"/>
        <v>40.58</v>
      </c>
    </row>
    <row r="22" spans="2:7" ht="25.5">
      <c r="B22" s="144" t="s">
        <v>90</v>
      </c>
      <c r="C22" s="136" t="s">
        <v>91</v>
      </c>
      <c r="D22" s="137" t="s">
        <v>92</v>
      </c>
      <c r="E22" s="138">
        <v>10</v>
      </c>
      <c r="F22" s="137">
        <v>3.26</v>
      </c>
      <c r="G22" s="145">
        <f t="shared" si="0"/>
        <v>32.6</v>
      </c>
    </row>
    <row r="23" spans="2:7" ht="25.5">
      <c r="B23" s="144" t="s">
        <v>97</v>
      </c>
      <c r="C23" s="136" t="s">
        <v>98</v>
      </c>
      <c r="D23" s="137" t="s">
        <v>84</v>
      </c>
      <c r="E23" s="138">
        <v>2</v>
      </c>
      <c r="F23" s="137">
        <v>5.66</v>
      </c>
      <c r="G23" s="145">
        <f t="shared" si="0"/>
        <v>11.32</v>
      </c>
    </row>
    <row r="24" spans="2:7" ht="26.25" thickBot="1">
      <c r="B24" s="146" t="s">
        <v>94</v>
      </c>
      <c r="C24" s="147" t="s">
        <v>95</v>
      </c>
      <c r="D24" s="104" t="s">
        <v>84</v>
      </c>
      <c r="E24" s="148">
        <v>2</v>
      </c>
      <c r="F24" s="104">
        <v>5.66</v>
      </c>
      <c r="G24" s="149">
        <f t="shared" si="0"/>
        <v>11.32</v>
      </c>
    </row>
    <row r="25" spans="2:7" ht="13.5" thickBot="1">
      <c r="B25" s="129" t="s">
        <v>64</v>
      </c>
      <c r="C25" s="130"/>
      <c r="D25" s="131"/>
      <c r="E25" s="132"/>
      <c r="F25" s="131"/>
      <c r="G25" s="133">
        <f>SUM(G19:G24)</f>
        <v>135.2</v>
      </c>
    </row>
    <row r="26" spans="2:7" ht="13.5" thickBot="1">
      <c r="B26" s="290"/>
      <c r="C26" s="291"/>
      <c r="D26" s="291"/>
      <c r="E26" s="291"/>
      <c r="F26" s="291"/>
      <c r="G26" s="292"/>
    </row>
    <row r="27" spans="2:7" ht="13.5" thickBot="1">
      <c r="B27" s="284" t="s">
        <v>65</v>
      </c>
      <c r="C27" s="285"/>
      <c r="D27" s="285"/>
      <c r="E27" s="285"/>
      <c r="F27" s="285"/>
      <c r="G27" s="286"/>
    </row>
    <row r="28" spans="2:7" ht="26.25" thickBot="1">
      <c r="B28" s="95" t="s">
        <v>96</v>
      </c>
      <c r="C28" s="135" t="s">
        <v>99</v>
      </c>
      <c r="D28" s="97" t="s">
        <v>59</v>
      </c>
      <c r="E28" s="98">
        <v>0.5</v>
      </c>
      <c r="F28" s="97">
        <v>82.23</v>
      </c>
      <c r="G28" s="99">
        <f>F28*E28</f>
        <v>41.12</v>
      </c>
    </row>
    <row r="29" spans="2:7" ht="13.5" thickBot="1">
      <c r="B29" s="106" t="s">
        <v>66</v>
      </c>
      <c r="C29" s="93"/>
      <c r="D29" s="107"/>
      <c r="E29" s="111"/>
      <c r="F29" s="107"/>
      <c r="G29" s="110">
        <f>G28</f>
        <v>41.12</v>
      </c>
    </row>
    <row r="30" spans="2:7" ht="13.5" thickBot="1">
      <c r="B30" s="281"/>
      <c r="C30" s="282"/>
      <c r="D30" s="282"/>
      <c r="E30" s="282"/>
      <c r="F30" s="282"/>
      <c r="G30" s="283"/>
    </row>
    <row r="31" spans="2:7" ht="13.5" thickBot="1">
      <c r="B31" s="112" t="s">
        <v>67</v>
      </c>
      <c r="C31" s="93" t="s">
        <v>68</v>
      </c>
      <c r="D31" s="113" t="s">
        <v>69</v>
      </c>
      <c r="E31" s="306" t="s">
        <v>70</v>
      </c>
      <c r="F31" s="306"/>
      <c r="G31" s="307"/>
    </row>
    <row r="32" spans="2:7" ht="12.75">
      <c r="B32" s="114" t="s">
        <v>71</v>
      </c>
      <c r="C32" s="115"/>
      <c r="D32" s="116">
        <f>G16</f>
        <v>4.72</v>
      </c>
      <c r="E32" s="308"/>
      <c r="F32" s="308"/>
      <c r="G32" s="309"/>
    </row>
    <row r="33" spans="2:7" ht="12.75">
      <c r="B33" s="117" t="s">
        <v>72</v>
      </c>
      <c r="C33" s="118"/>
      <c r="D33" s="119">
        <f>G25</f>
        <v>135.2</v>
      </c>
      <c r="E33" s="293"/>
      <c r="F33" s="293"/>
      <c r="G33" s="294"/>
    </row>
    <row r="34" spans="2:7" ht="12.75">
      <c r="B34" s="117" t="s">
        <v>73</v>
      </c>
      <c r="C34" s="118"/>
      <c r="D34" s="119">
        <f>G29</f>
        <v>41.12</v>
      </c>
      <c r="E34" s="293"/>
      <c r="F34" s="293"/>
      <c r="G34" s="294"/>
    </row>
    <row r="35" spans="2:7" ht="12.75">
      <c r="B35" s="117" t="s">
        <v>74</v>
      </c>
      <c r="C35" s="120">
        <f>Plan1!I5</f>
        <v>0.9226</v>
      </c>
      <c r="D35" s="119">
        <f>D32*(C35)</f>
        <v>4.35</v>
      </c>
      <c r="E35" s="293"/>
      <c r="F35" s="293"/>
      <c r="G35" s="294"/>
    </row>
    <row r="36" spans="2:7" ht="13.5" thickBot="1">
      <c r="B36" s="117" t="s">
        <v>75</v>
      </c>
      <c r="C36" s="121"/>
      <c r="D36" s="122">
        <f>SUM(D32:D35)</f>
        <v>185.39</v>
      </c>
      <c r="E36" s="295"/>
      <c r="F36" s="295"/>
      <c r="G36" s="296"/>
    </row>
    <row r="37" spans="2:7" ht="12.75">
      <c r="B37" s="117" t="s">
        <v>76</v>
      </c>
      <c r="C37" s="118"/>
      <c r="D37" s="123">
        <v>0</v>
      </c>
      <c r="E37" s="297" t="s">
        <v>77</v>
      </c>
      <c r="F37" s="298"/>
      <c r="G37" s="299"/>
    </row>
    <row r="38" spans="2:7" ht="12.75">
      <c r="B38" s="117" t="s">
        <v>32</v>
      </c>
      <c r="C38" s="121"/>
      <c r="D38" s="124">
        <f>D36+D37</f>
        <v>185.39</v>
      </c>
      <c r="E38" s="300"/>
      <c r="F38" s="301"/>
      <c r="G38" s="302"/>
    </row>
    <row r="39" spans="2:7" ht="12.75">
      <c r="B39" s="117" t="s">
        <v>78</v>
      </c>
      <c r="C39" s="120">
        <f>Plan1!I6</f>
        <v>0.309</v>
      </c>
      <c r="D39" s="123">
        <f>(D38)*(C39)</f>
        <v>57.29</v>
      </c>
      <c r="E39" s="300"/>
      <c r="F39" s="301"/>
      <c r="G39" s="302"/>
    </row>
    <row r="40" spans="2:7" ht="13.5" thickBot="1">
      <c r="B40" s="125" t="s">
        <v>79</v>
      </c>
      <c r="C40" s="126"/>
      <c r="D40" s="127">
        <f>SUM(D38:D39)</f>
        <v>242.68</v>
      </c>
      <c r="E40" s="303">
        <f>D40</f>
        <v>242.68</v>
      </c>
      <c r="F40" s="304"/>
      <c r="G40" s="305"/>
    </row>
  </sheetData>
  <sheetProtection/>
  <mergeCells count="29">
    <mergeCell ref="E35:G35"/>
    <mergeCell ref="E36:G36"/>
    <mergeCell ref="E37:G39"/>
    <mergeCell ref="E40:G40"/>
    <mergeCell ref="B27:G27"/>
    <mergeCell ref="B30:G30"/>
    <mergeCell ref="E31:G31"/>
    <mergeCell ref="E32:G32"/>
    <mergeCell ref="E33:G33"/>
    <mergeCell ref="E34:G34"/>
    <mergeCell ref="B10:G10"/>
    <mergeCell ref="B12:G12"/>
    <mergeCell ref="B13:G13"/>
    <mergeCell ref="B17:G17"/>
    <mergeCell ref="B18:G18"/>
    <mergeCell ref="B26:G26"/>
    <mergeCell ref="B6:D6"/>
    <mergeCell ref="E6:F6"/>
    <mergeCell ref="B7:G7"/>
    <mergeCell ref="D8:E8"/>
    <mergeCell ref="F8:G8"/>
    <mergeCell ref="D9:E9"/>
    <mergeCell ref="F9:G9"/>
    <mergeCell ref="B1:D3"/>
    <mergeCell ref="E3:G3"/>
    <mergeCell ref="B4:D4"/>
    <mergeCell ref="E4:F4"/>
    <mergeCell ref="B5:D5"/>
    <mergeCell ref="E5:F5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89" r:id="rId2"/>
  <ignoredErrors>
    <ignoredError sqref="F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A1">
      <selection activeCell="D9" sqref="D9:E9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44" t="s">
        <v>80</v>
      </c>
      <c r="C1" s="245"/>
      <c r="D1" s="246"/>
      <c r="E1" s="72"/>
      <c r="F1" s="73"/>
      <c r="G1" s="74"/>
    </row>
    <row r="2" spans="1:9" ht="15" customHeight="1">
      <c r="A2" s="76"/>
      <c r="B2" s="247"/>
      <c r="C2" s="248"/>
      <c r="D2" s="249"/>
      <c r="E2" s="77"/>
      <c r="F2" s="78"/>
      <c r="G2" s="79"/>
      <c r="H2" s="80"/>
      <c r="I2" s="80"/>
    </row>
    <row r="3" spans="1:9" ht="28.5" customHeight="1" thickBot="1">
      <c r="A3" s="81"/>
      <c r="B3" s="250"/>
      <c r="C3" s="251"/>
      <c r="D3" s="252"/>
      <c r="E3" s="253" t="s">
        <v>18</v>
      </c>
      <c r="F3" s="254"/>
      <c r="G3" s="255"/>
      <c r="H3" s="82"/>
      <c r="I3" s="80"/>
    </row>
    <row r="4" spans="1:9" ht="15" customHeight="1">
      <c r="A4" s="83"/>
      <c r="B4" s="256" t="s">
        <v>19</v>
      </c>
      <c r="C4" s="257"/>
      <c r="D4" s="258"/>
      <c r="E4" s="259" t="s">
        <v>20</v>
      </c>
      <c r="F4" s="260"/>
      <c r="G4" s="84" t="s">
        <v>21</v>
      </c>
      <c r="H4" s="80"/>
      <c r="I4" s="80"/>
    </row>
    <row r="5" spans="1:9" ht="15" customHeight="1">
      <c r="A5" s="85"/>
      <c r="B5" s="261"/>
      <c r="C5" s="262"/>
      <c r="D5" s="262"/>
      <c r="E5" s="263" t="s">
        <v>23</v>
      </c>
      <c r="F5" s="264"/>
      <c r="G5" s="86">
        <f>Plan1!I5</f>
        <v>0.9226</v>
      </c>
      <c r="H5" s="80"/>
      <c r="I5" s="80"/>
    </row>
    <row r="6" spans="1:10" ht="15" customHeight="1" thickBot="1">
      <c r="A6" s="85"/>
      <c r="B6" s="265" t="s">
        <v>33</v>
      </c>
      <c r="C6" s="266"/>
      <c r="D6" s="267"/>
      <c r="E6" s="268" t="s">
        <v>24</v>
      </c>
      <c r="F6" s="269"/>
      <c r="G6" s="87">
        <f>Plan1!I6</f>
        <v>0.309</v>
      </c>
      <c r="H6" s="80"/>
      <c r="I6" s="80"/>
      <c r="J6" s="88"/>
    </row>
    <row r="7" spans="2:7" ht="13.5" thickBot="1">
      <c r="B7" s="270" t="s">
        <v>47</v>
      </c>
      <c r="C7" s="271"/>
      <c r="D7" s="271"/>
      <c r="E7" s="271"/>
      <c r="F7" s="271"/>
      <c r="G7" s="272"/>
    </row>
    <row r="8" spans="2:7" ht="13.5" customHeight="1" thickBot="1">
      <c r="B8" s="89" t="s">
        <v>48</v>
      </c>
      <c r="C8" s="89" t="s">
        <v>25</v>
      </c>
      <c r="D8" s="273" t="s">
        <v>49</v>
      </c>
      <c r="E8" s="274"/>
      <c r="F8" s="273" t="s">
        <v>50</v>
      </c>
      <c r="G8" s="274"/>
    </row>
    <row r="9" spans="2:7" ht="13.5" thickBot="1">
      <c r="B9" s="90" t="s">
        <v>83</v>
      </c>
      <c r="C9" s="91" t="s">
        <v>100</v>
      </c>
      <c r="D9" s="275" t="s">
        <v>36</v>
      </c>
      <c r="E9" s="275"/>
      <c r="F9" s="276" t="str">
        <f>Plan1!I4</f>
        <v>MAR / 2016</v>
      </c>
      <c r="G9" s="277"/>
    </row>
    <row r="10" spans="2:7" ht="13.5" thickBot="1">
      <c r="B10" s="278"/>
      <c r="C10" s="279"/>
      <c r="D10" s="279"/>
      <c r="E10" s="279"/>
      <c r="F10" s="279"/>
      <c r="G10" s="280"/>
    </row>
    <row r="11" spans="2:7" ht="26.25" thickBot="1">
      <c r="B11" s="92" t="s">
        <v>48</v>
      </c>
      <c r="C11" s="93"/>
      <c r="D11" s="93" t="s">
        <v>52</v>
      </c>
      <c r="E11" s="93" t="s">
        <v>53</v>
      </c>
      <c r="F11" s="93" t="s">
        <v>54</v>
      </c>
      <c r="G11" s="94" t="s">
        <v>55</v>
      </c>
    </row>
    <row r="12" spans="2:7" ht="13.5" thickBot="1">
      <c r="B12" s="281"/>
      <c r="C12" s="282"/>
      <c r="D12" s="282"/>
      <c r="E12" s="282"/>
      <c r="F12" s="282"/>
      <c r="G12" s="283"/>
    </row>
    <row r="13" spans="2:7" ht="13.5" thickBot="1">
      <c r="B13" s="284" t="s">
        <v>56</v>
      </c>
      <c r="C13" s="285"/>
      <c r="D13" s="285"/>
      <c r="E13" s="285"/>
      <c r="F13" s="285"/>
      <c r="G13" s="286"/>
    </row>
    <row r="14" spans="2:7" ht="12.75">
      <c r="B14" s="95" t="s">
        <v>57</v>
      </c>
      <c r="C14" s="96" t="s">
        <v>58</v>
      </c>
      <c r="D14" s="97" t="s">
        <v>59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60</v>
      </c>
      <c r="C15" s="101" t="s">
        <v>61</v>
      </c>
      <c r="D15" s="102" t="s">
        <v>59</v>
      </c>
      <c r="E15" s="103">
        <v>1</v>
      </c>
      <c r="F15" s="104">
        <v>4.31</v>
      </c>
      <c r="G15" s="105">
        <f>F15*E15</f>
        <v>4.31</v>
      </c>
    </row>
    <row r="16" spans="2:7" ht="13.5" thickBot="1">
      <c r="B16" s="106" t="s">
        <v>62</v>
      </c>
      <c r="C16" s="93"/>
      <c r="D16" s="107"/>
      <c r="E16" s="108"/>
      <c r="F16" s="109"/>
      <c r="G16" s="110">
        <f>SUM(G14:G15)</f>
        <v>6.87</v>
      </c>
    </row>
    <row r="17" spans="2:7" ht="13.5" thickBot="1">
      <c r="B17" s="281"/>
      <c r="C17" s="282"/>
      <c r="D17" s="282"/>
      <c r="E17" s="282"/>
      <c r="F17" s="282"/>
      <c r="G17" s="283"/>
    </row>
    <row r="18" spans="2:7" ht="13.5" thickBot="1">
      <c r="B18" s="287" t="s">
        <v>63</v>
      </c>
      <c r="C18" s="288"/>
      <c r="D18" s="288"/>
      <c r="E18" s="288"/>
      <c r="F18" s="288"/>
      <c r="G18" s="289"/>
    </row>
    <row r="19" spans="2:7" ht="25.5">
      <c r="B19" s="139" t="s">
        <v>85</v>
      </c>
      <c r="C19" s="140" t="s">
        <v>86</v>
      </c>
      <c r="D19" s="141" t="s">
        <v>84</v>
      </c>
      <c r="E19" s="142">
        <v>1</v>
      </c>
      <c r="F19" s="141">
        <v>7.72</v>
      </c>
      <c r="G19" s="143">
        <f aca="true" t="shared" si="0" ref="G19:G25">F19*E19</f>
        <v>7.72</v>
      </c>
    </row>
    <row r="20" spans="2:7" ht="25.5">
      <c r="B20" s="144" t="s">
        <v>87</v>
      </c>
      <c r="C20" s="136" t="s">
        <v>88</v>
      </c>
      <c r="D20" s="137" t="s">
        <v>84</v>
      </c>
      <c r="E20" s="138">
        <v>1</v>
      </c>
      <c r="F20" s="137">
        <v>11.97</v>
      </c>
      <c r="G20" s="145">
        <f t="shared" si="0"/>
        <v>11.97</v>
      </c>
    </row>
    <row r="21" spans="2:7" ht="25.5">
      <c r="B21" s="144" t="s">
        <v>89</v>
      </c>
      <c r="C21" s="136" t="s">
        <v>93</v>
      </c>
      <c r="D21" s="137" t="s">
        <v>84</v>
      </c>
      <c r="E21" s="138">
        <v>1</v>
      </c>
      <c r="F21" s="137">
        <v>20.29</v>
      </c>
      <c r="G21" s="145">
        <f t="shared" si="0"/>
        <v>20.29</v>
      </c>
    </row>
    <row r="22" spans="2:7" ht="25.5">
      <c r="B22" s="144" t="s">
        <v>90</v>
      </c>
      <c r="C22" s="136" t="s">
        <v>91</v>
      </c>
      <c r="D22" s="137" t="s">
        <v>92</v>
      </c>
      <c r="E22" s="138">
        <v>6</v>
      </c>
      <c r="F22" s="137">
        <v>3.26</v>
      </c>
      <c r="G22" s="145">
        <f t="shared" si="0"/>
        <v>19.56</v>
      </c>
    </row>
    <row r="23" spans="2:7" ht="25.5">
      <c r="B23" s="144" t="s">
        <v>101</v>
      </c>
      <c r="C23" s="136" t="s">
        <v>102</v>
      </c>
      <c r="D23" s="137" t="s">
        <v>103</v>
      </c>
      <c r="E23" s="138">
        <v>0.09</v>
      </c>
      <c r="F23" s="137">
        <v>29.5</v>
      </c>
      <c r="G23" s="145">
        <f t="shared" si="0"/>
        <v>2.66</v>
      </c>
    </row>
    <row r="24" spans="2:7" ht="25.5">
      <c r="B24" s="144" t="s">
        <v>97</v>
      </c>
      <c r="C24" s="136" t="s">
        <v>98</v>
      </c>
      <c r="D24" s="137" t="s">
        <v>84</v>
      </c>
      <c r="E24" s="138">
        <v>1</v>
      </c>
      <c r="F24" s="137">
        <v>5.66</v>
      </c>
      <c r="G24" s="145">
        <f t="shared" si="0"/>
        <v>5.66</v>
      </c>
    </row>
    <row r="25" spans="2:7" ht="26.25" thickBot="1">
      <c r="B25" s="146" t="s">
        <v>94</v>
      </c>
      <c r="C25" s="147" t="s">
        <v>95</v>
      </c>
      <c r="D25" s="104" t="s">
        <v>84</v>
      </c>
      <c r="E25" s="148">
        <v>1</v>
      </c>
      <c r="F25" s="104">
        <v>5.66</v>
      </c>
      <c r="G25" s="149">
        <f t="shared" si="0"/>
        <v>5.66</v>
      </c>
    </row>
    <row r="26" spans="2:7" ht="13.5" thickBot="1">
      <c r="B26" s="129" t="s">
        <v>64</v>
      </c>
      <c r="C26" s="130"/>
      <c r="D26" s="131"/>
      <c r="E26" s="132"/>
      <c r="F26" s="131"/>
      <c r="G26" s="133">
        <f>SUM(G19:G25)</f>
        <v>73.52</v>
      </c>
    </row>
    <row r="27" spans="2:7" ht="13.5" thickBot="1">
      <c r="B27" s="290"/>
      <c r="C27" s="291"/>
      <c r="D27" s="291"/>
      <c r="E27" s="291"/>
      <c r="F27" s="291"/>
      <c r="G27" s="292"/>
    </row>
    <row r="28" spans="2:7" ht="13.5" thickBot="1">
      <c r="B28" s="284" t="s">
        <v>65</v>
      </c>
      <c r="C28" s="285"/>
      <c r="D28" s="285"/>
      <c r="E28" s="285"/>
      <c r="F28" s="285"/>
      <c r="G28" s="286"/>
    </row>
    <row r="29" spans="2:7" ht="26.25" thickBot="1">
      <c r="B29" s="95" t="s">
        <v>96</v>
      </c>
      <c r="C29" s="135" t="s">
        <v>99</v>
      </c>
      <c r="D29" s="97" t="s">
        <v>59</v>
      </c>
      <c r="E29" s="98">
        <v>0.25</v>
      </c>
      <c r="F29" s="97">
        <v>82.23</v>
      </c>
      <c r="G29" s="99">
        <f>F29*E29</f>
        <v>20.56</v>
      </c>
    </row>
    <row r="30" spans="2:7" ht="13.5" thickBot="1">
      <c r="B30" s="106" t="s">
        <v>66</v>
      </c>
      <c r="C30" s="93"/>
      <c r="D30" s="107"/>
      <c r="E30" s="111"/>
      <c r="F30" s="107"/>
      <c r="G30" s="110">
        <f>G29</f>
        <v>20.56</v>
      </c>
    </row>
    <row r="31" spans="2:7" ht="13.5" thickBot="1">
      <c r="B31" s="281"/>
      <c r="C31" s="282"/>
      <c r="D31" s="282"/>
      <c r="E31" s="282"/>
      <c r="F31" s="282"/>
      <c r="G31" s="283"/>
    </row>
    <row r="32" spans="2:7" ht="13.5" thickBot="1">
      <c r="B32" s="112" t="s">
        <v>67</v>
      </c>
      <c r="C32" s="93" t="s">
        <v>68</v>
      </c>
      <c r="D32" s="113" t="s">
        <v>69</v>
      </c>
      <c r="E32" s="306" t="s">
        <v>70</v>
      </c>
      <c r="F32" s="306"/>
      <c r="G32" s="307"/>
    </row>
    <row r="33" spans="2:7" ht="12.75">
      <c r="B33" s="114" t="s">
        <v>71</v>
      </c>
      <c r="C33" s="115"/>
      <c r="D33" s="116">
        <f>G16</f>
        <v>6.87</v>
      </c>
      <c r="E33" s="308"/>
      <c r="F33" s="308"/>
      <c r="G33" s="309"/>
    </row>
    <row r="34" spans="2:7" ht="12.75">
      <c r="B34" s="117" t="s">
        <v>72</v>
      </c>
      <c r="C34" s="118"/>
      <c r="D34" s="119">
        <f>G26</f>
        <v>73.52</v>
      </c>
      <c r="E34" s="293"/>
      <c r="F34" s="293"/>
      <c r="G34" s="294"/>
    </row>
    <row r="35" spans="2:7" ht="12.75">
      <c r="B35" s="117" t="s">
        <v>73</v>
      </c>
      <c r="C35" s="118"/>
      <c r="D35" s="119">
        <f>G30</f>
        <v>20.56</v>
      </c>
      <c r="E35" s="293"/>
      <c r="F35" s="293"/>
      <c r="G35" s="294"/>
    </row>
    <row r="36" spans="2:7" ht="12.75">
      <c r="B36" s="117" t="s">
        <v>74</v>
      </c>
      <c r="C36" s="120">
        <f>Plan1!I5</f>
        <v>0.9226</v>
      </c>
      <c r="D36" s="119">
        <f>D33*(C36)</f>
        <v>6.34</v>
      </c>
      <c r="E36" s="293"/>
      <c r="F36" s="293"/>
      <c r="G36" s="294"/>
    </row>
    <row r="37" spans="2:7" ht="13.5" thickBot="1">
      <c r="B37" s="117" t="s">
        <v>75</v>
      </c>
      <c r="C37" s="121"/>
      <c r="D37" s="122">
        <f>SUM(D33:D36)</f>
        <v>107.29</v>
      </c>
      <c r="E37" s="295"/>
      <c r="F37" s="295"/>
      <c r="G37" s="296"/>
    </row>
    <row r="38" spans="2:7" ht="12.75">
      <c r="B38" s="117" t="s">
        <v>76</v>
      </c>
      <c r="C38" s="118"/>
      <c r="D38" s="123">
        <v>0</v>
      </c>
      <c r="E38" s="297" t="s">
        <v>77</v>
      </c>
      <c r="F38" s="298"/>
      <c r="G38" s="299"/>
    </row>
    <row r="39" spans="2:7" ht="12.75">
      <c r="B39" s="117" t="s">
        <v>32</v>
      </c>
      <c r="C39" s="121"/>
      <c r="D39" s="124">
        <f>D37+D38</f>
        <v>107.29</v>
      </c>
      <c r="E39" s="300"/>
      <c r="F39" s="301"/>
      <c r="G39" s="302"/>
    </row>
    <row r="40" spans="2:7" ht="12.75">
      <c r="B40" s="117" t="s">
        <v>78</v>
      </c>
      <c r="C40" s="120">
        <f>Plan1!I6</f>
        <v>0.309</v>
      </c>
      <c r="D40" s="123">
        <f>(D39)*(C40)</f>
        <v>33.15</v>
      </c>
      <c r="E40" s="300"/>
      <c r="F40" s="301"/>
      <c r="G40" s="302"/>
    </row>
    <row r="41" spans="2:7" ht="13.5" thickBot="1">
      <c r="B41" s="125" t="s">
        <v>79</v>
      </c>
      <c r="C41" s="126"/>
      <c r="D41" s="127">
        <f>SUM(D39:D40)</f>
        <v>140.44</v>
      </c>
      <c r="E41" s="303">
        <f>D41</f>
        <v>140.44</v>
      </c>
      <c r="F41" s="304"/>
      <c r="G41" s="305"/>
    </row>
  </sheetData>
  <sheetProtection/>
  <mergeCells count="29">
    <mergeCell ref="E36:G36"/>
    <mergeCell ref="E37:G37"/>
    <mergeCell ref="E38:G40"/>
    <mergeCell ref="E41:G41"/>
    <mergeCell ref="B28:G28"/>
    <mergeCell ref="B31:G31"/>
    <mergeCell ref="E32:G32"/>
    <mergeCell ref="E33:G33"/>
    <mergeCell ref="E34:G34"/>
    <mergeCell ref="E35:G35"/>
    <mergeCell ref="B10:G10"/>
    <mergeCell ref="B12:G12"/>
    <mergeCell ref="B13:G13"/>
    <mergeCell ref="B17:G17"/>
    <mergeCell ref="B18:G18"/>
    <mergeCell ref="B27:G27"/>
    <mergeCell ref="B6:D6"/>
    <mergeCell ref="E6:F6"/>
    <mergeCell ref="B7:G7"/>
    <mergeCell ref="D8:E8"/>
    <mergeCell ref="F8:G8"/>
    <mergeCell ref="D9:E9"/>
    <mergeCell ref="F9:G9"/>
    <mergeCell ref="B1:D3"/>
    <mergeCell ref="E3:G3"/>
    <mergeCell ref="B4:D4"/>
    <mergeCell ref="E4:F4"/>
    <mergeCell ref="B5:D5"/>
    <mergeCell ref="E5:F5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2016-07-17T19:34:22Z</cp:lastPrinted>
  <dcterms:created xsi:type="dcterms:W3CDTF">2015-12-07T12:50:36Z</dcterms:created>
  <dcterms:modified xsi:type="dcterms:W3CDTF">2016-07-17T21:02:36Z</dcterms:modified>
  <cp:category/>
  <cp:version/>
  <cp:contentType/>
  <cp:contentStatus/>
</cp:coreProperties>
</file>